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5865" yWindow="65491" windowWidth="6180" windowHeight="8325" firstSheet="1" activeTab="1"/>
  </bookViews>
  <sheets>
    <sheet name="AUTEURS" sheetId="1" r:id="rId1"/>
    <sheet name="Elevage" sheetId="2" r:id="rId2"/>
    <sheet name="Stock_Début" sheetId="3" r:id="rId3"/>
    <sheet name="Stock_Fin" sheetId="4" r:id="rId4"/>
    <sheet name="Achats_Aliments" sheetId="5" r:id="rId5"/>
    <sheet name="Bilan" sheetId="6" r:id="rId6"/>
    <sheet name="Standard" sheetId="7" r:id="rId7"/>
    <sheet name="Gra1_N" sheetId="8" r:id="rId8"/>
    <sheet name="Gra2_N" sheetId="9" r:id="rId9"/>
    <sheet name="Gra_P" sheetId="10" r:id="rId10"/>
    <sheet name="Aide" sheetId="11" r:id="rId11"/>
    <sheet name="Références" sheetId="12" r:id="rId12"/>
    <sheet name="Enregistrement" sheetId="13" r:id="rId13"/>
  </sheets>
  <definedNames>
    <definedName name="_xlnm.Print_Titles" localSheetId="1">'Elevage'!$2:$6</definedName>
    <definedName name="page1">'AUTEURS'!$A$1:$H$36</definedName>
    <definedName name="page2">'Elevage'!$A$1:$G$55</definedName>
    <definedName name="page3">'Stock_Début'!$A$1:$H$114</definedName>
    <definedName name="_xlnm.Print_Area" localSheetId="4">'Achats_Aliments'!$A$1:$H$52</definedName>
    <definedName name="_xlnm.Print_Area" localSheetId="1">'Elevage'!$B$2:$H$76</definedName>
    <definedName name="_xlnm.Print_Area" localSheetId="6">'Standard'!$B$1:$I$50</definedName>
  </definedNames>
  <calcPr fullCalcOnLoad="1"/>
</workbook>
</file>

<file path=xl/comments2.xml><?xml version="1.0" encoding="utf-8"?>
<comments xmlns="http://schemas.openxmlformats.org/spreadsheetml/2006/main">
  <authors>
    <author>M.A.P.A.Q.</author>
    <author>Charles Bachand</author>
  </authors>
  <commentList>
    <comment ref="E16" authorId="0">
      <text>
        <r>
          <rPr>
            <sz val="8"/>
            <rFont val="Tahoma"/>
            <family val="0"/>
          </rPr>
          <t xml:space="preserve">
Poids moyen par tête de l'inventaire en début de période</t>
        </r>
      </text>
    </comment>
    <comment ref="F16" authorId="0">
      <text>
        <r>
          <rPr>
            <sz val="8"/>
            <rFont val="Tahoma"/>
            <family val="0"/>
          </rPr>
          <t xml:space="preserve">
Poids moyen par tête de l'inventaire en fin de période</t>
        </r>
      </text>
    </comment>
    <comment ref="F24" authorId="0">
      <text>
        <r>
          <rPr>
            <sz val="8"/>
            <rFont val="Tahoma"/>
            <family val="0"/>
          </rPr>
          <t xml:space="preserve">
Poids moyen des mortalité</t>
        </r>
      </text>
    </comment>
    <comment ref="B9" authorId="0">
      <text>
        <r>
          <rPr>
            <b/>
            <sz val="8"/>
            <rFont val="Tahoma"/>
            <family val="0"/>
          </rPr>
          <t>Il est nécessaire d'utiliser une période de 12 mois pour la comparaison des résultats avec les moyennes 2001 pour les truies.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 xml:space="preserve">Nombre de cochettes entrées dans le troupeau dans la période considérée. 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Considérer seulement les jeunes truies vendues.</t>
        </r>
        <r>
          <rPr>
            <sz val="8"/>
            <rFont val="Tahoma"/>
            <family val="0"/>
          </rPr>
          <t xml:space="preserve">
</t>
        </r>
      </text>
    </comment>
    <comment ref="B53" authorId="1">
      <text>
        <r>
          <rPr>
            <b/>
            <sz val="8"/>
            <rFont val="Tahoma"/>
            <family val="0"/>
          </rPr>
          <t>Choisir le type de lisier de référence</t>
        </r>
      </text>
    </comment>
    <comment ref="C30" authorId="0">
      <text>
        <r>
          <rPr>
            <b/>
            <sz val="8"/>
            <rFont val="Tahoma"/>
            <family val="0"/>
          </rPr>
          <t>Nombre de truies réformées dans la période considérée.</t>
        </r>
      </text>
    </comment>
  </commentList>
</comments>
</file>

<file path=xl/sharedStrings.xml><?xml version="1.0" encoding="utf-8"?>
<sst xmlns="http://schemas.openxmlformats.org/spreadsheetml/2006/main" count="542" uniqueCount="321">
  <si>
    <t>"BILSIMPL"</t>
  </si>
  <si>
    <t>Calcul des rejets d'azote et de phosphore des porcs</t>
  </si>
  <si>
    <t>par la méthode dite "du bilan simplifié"</t>
  </si>
  <si>
    <t>D'après le document du CORPEN</t>
  </si>
  <si>
    <t xml:space="preserve">Estimation des rejets d'azote </t>
  </si>
  <si>
    <t>et de phosphore des élevages de porcs.</t>
  </si>
  <si>
    <t>C.O.R.P.E.N</t>
  </si>
  <si>
    <t>Comité d'orientation pour la réduction de la pollution des eaux par</t>
  </si>
  <si>
    <t>les nitrates, les phosphates et les produits phytosanitaires provenant</t>
  </si>
  <si>
    <t>des activités agricoles</t>
  </si>
  <si>
    <t>L'utilisation de cet outil ou des résultats qu'il produit est faite sous l'entière responsabilité</t>
  </si>
  <si>
    <t>de l'utilisateur, et ne saurait engager celle du CORPEN ou de l'INRA.</t>
  </si>
  <si>
    <t>Le bilan simplifié a été développé à partir du modèle INRA</t>
  </si>
  <si>
    <t>de calcul des rejets</t>
  </si>
  <si>
    <t xml:space="preserve">Réalisation J.Y. Dourmad </t>
  </si>
  <si>
    <t>Références</t>
  </si>
  <si>
    <t>de l'élevage</t>
  </si>
  <si>
    <t>PERIODE de BILAN</t>
  </si>
  <si>
    <t>Jour</t>
  </si>
  <si>
    <t>Mois</t>
  </si>
  <si>
    <t>Année</t>
  </si>
  <si>
    <t>Date début</t>
  </si>
  <si>
    <t>Date fin</t>
  </si>
  <si>
    <t>Durée</t>
  </si>
  <si>
    <t>Zone de calcul</t>
  </si>
  <si>
    <t>ANIMAUX - EFFECTIFS</t>
  </si>
  <si>
    <t>Effectif</t>
  </si>
  <si>
    <t>PV moyen</t>
  </si>
  <si>
    <t>début</t>
  </si>
  <si>
    <t>fin</t>
  </si>
  <si>
    <t>début, kg</t>
  </si>
  <si>
    <t>fin, kg</t>
  </si>
  <si>
    <t>N g/j</t>
  </si>
  <si>
    <t>N tot, kg</t>
  </si>
  <si>
    <t>P, g/j</t>
  </si>
  <si>
    <t>Ptot, kg</t>
  </si>
  <si>
    <t>% muscle</t>
  </si>
  <si>
    <t>N Deb</t>
  </si>
  <si>
    <t>N Fin</t>
  </si>
  <si>
    <t>P Deb</t>
  </si>
  <si>
    <t>P Fin</t>
  </si>
  <si>
    <t>Pds Deb</t>
  </si>
  <si>
    <t>Pds Fin</t>
  </si>
  <si>
    <t>Truies présentes</t>
  </si>
  <si>
    <t>Truies</t>
  </si>
  <si>
    <t>Verrats</t>
  </si>
  <si>
    <t>Porcelets en post sevrage</t>
  </si>
  <si>
    <t>Post-sevrés</t>
  </si>
  <si>
    <t>Porcs en croissance/finition</t>
  </si>
  <si>
    <t>Porcs engrais</t>
  </si>
  <si>
    <t>Total</t>
  </si>
  <si>
    <t>VENTES D'ANIMAUX</t>
  </si>
  <si>
    <t>Nombre</t>
  </si>
  <si>
    <t>Poids vif</t>
  </si>
  <si>
    <t>kg</t>
  </si>
  <si>
    <t>Pds Sorti</t>
  </si>
  <si>
    <t>N Sorti</t>
  </si>
  <si>
    <t>P Sorti</t>
  </si>
  <si>
    <t>Pds Entré</t>
  </si>
  <si>
    <t>N Entré</t>
  </si>
  <si>
    <t>P entré</t>
  </si>
  <si>
    <t>%Muscle</t>
  </si>
  <si>
    <t>PCorpen</t>
  </si>
  <si>
    <t>Porcelets sevrés</t>
  </si>
  <si>
    <t>Porcelets "de 25 kg"</t>
  </si>
  <si>
    <t>Jeunes Reproducteurs**</t>
  </si>
  <si>
    <t>-</t>
  </si>
  <si>
    <t>Porcs charcutiers</t>
  </si>
  <si>
    <t xml:space="preserve"> ACHATS D'ANIMAUX</t>
  </si>
  <si>
    <t>ALIMENTS -  STOCKS DEBUT</t>
  </si>
  <si>
    <t>Quantité</t>
  </si>
  <si>
    <t>Protéines</t>
  </si>
  <si>
    <t>Phosphore</t>
  </si>
  <si>
    <t>Azote</t>
  </si>
  <si>
    <t>%</t>
  </si>
  <si>
    <t>P, kg</t>
  </si>
  <si>
    <t>Type d'aliment</t>
  </si>
  <si>
    <t>ALIMENTS -  STOCKS FIN</t>
  </si>
  <si>
    <t>ALIMENTS -  ACHATS</t>
  </si>
  <si>
    <t>au</t>
  </si>
  <si>
    <t>ELEVAGE</t>
  </si>
  <si>
    <t>Début de période</t>
  </si>
  <si>
    <t>Fin de période</t>
  </si>
  <si>
    <t>Porc produits / truie</t>
  </si>
  <si>
    <t>N excrété, g / kg de porc</t>
  </si>
  <si>
    <t>N effluent, g / kg porc</t>
  </si>
  <si>
    <t>BILAN AZOTE</t>
  </si>
  <si>
    <t>Bâtiment</t>
  </si>
  <si>
    <t>Stockage</t>
  </si>
  <si>
    <t>Emanation gazeuses, %</t>
  </si>
  <si>
    <t>% ingéré</t>
  </si>
  <si>
    <t>Aliment</t>
  </si>
  <si>
    <t>Fixé par les reproducteurs</t>
  </si>
  <si>
    <t>Exporté / ventes porcs &amp; porcelets</t>
  </si>
  <si>
    <t>Excrété</t>
  </si>
  <si>
    <t>Emanation gazeuses  (N-NH3)</t>
  </si>
  <si>
    <t>Effluent</t>
  </si>
  <si>
    <t>BILAN DE PHOSPHORE</t>
  </si>
  <si>
    <t>P2O5</t>
  </si>
  <si>
    <t>BILAN ENTREES/SORTIES</t>
  </si>
  <si>
    <t>Achats</t>
  </si>
  <si>
    <t>Ventes</t>
  </si>
  <si>
    <t>Bilan</t>
  </si>
  <si>
    <t>Aliments</t>
  </si>
  <si>
    <t xml:space="preserve">     - kg</t>
  </si>
  <si>
    <t xml:space="preserve">     - Azote, kg</t>
  </si>
  <si>
    <t>(N entré)</t>
  </si>
  <si>
    <t xml:space="preserve">     - Phosphore, kg</t>
  </si>
  <si>
    <t>(P entré)</t>
  </si>
  <si>
    <t>Animaux (truies et verrats exclus)</t>
  </si>
  <si>
    <t>(N retenu)</t>
  </si>
  <si>
    <t>(P retenu)</t>
  </si>
  <si>
    <t>BILAN</t>
  </si>
  <si>
    <t>N</t>
  </si>
  <si>
    <t>P</t>
  </si>
  <si>
    <t>Ingéré</t>
  </si>
  <si>
    <t>Retenu</t>
  </si>
  <si>
    <t>Air</t>
  </si>
  <si>
    <t>Lisier</t>
  </si>
  <si>
    <t>Méthode</t>
  </si>
  <si>
    <t>AZOTE</t>
  </si>
  <si>
    <t>Effectifs</t>
  </si>
  <si>
    <t>Reproducteurs</t>
  </si>
  <si>
    <t>Porcelets produits</t>
  </si>
  <si>
    <t>Porcs à l'engrais produits</t>
  </si>
  <si>
    <t>PHOSPHORE - P2O5</t>
  </si>
  <si>
    <t>"Estimation des rejets d'azote et de</t>
  </si>
  <si>
    <t xml:space="preserve">- L'utilisation de cet outil de calcul  est libre et gratuit, vous pouvez également </t>
  </si>
  <si>
    <t xml:space="preserve">  le diffuser, mais seulement à titre gratuit.</t>
  </si>
  <si>
    <t>- Afin que nous puissions vous informer du développement éventuel de nouvelles versions,</t>
  </si>
  <si>
    <t xml:space="preserve">   il serait souhaitable de vous enregistrer comme utilisateur</t>
  </si>
  <si>
    <t>Par courrier ou par fax à l'adresse ci-dessous</t>
  </si>
  <si>
    <t>Par Email à l'adresse ci-dessous</t>
  </si>
  <si>
    <t>- Nous souhaiterions également recevoir vos remarques concernant cet outil</t>
  </si>
  <si>
    <t xml:space="preserve">  afin que nous puissions éventuellement l'améliorer</t>
  </si>
  <si>
    <t>-----------------------------------------------------------------------------------------------------------------------------------------</t>
  </si>
  <si>
    <t>Enregistrement</t>
  </si>
  <si>
    <t>Nom :           ---------------------------------------------------------------</t>
  </si>
  <si>
    <t>Prénom :      ---------------------------------------------------------------</t>
  </si>
  <si>
    <t>Organisme :  ---------------------------------------------------------------------------------------------------------------</t>
  </si>
  <si>
    <t>Adresse :      ---------------------------------------------------------------------------------------------------------------</t>
  </si>
  <si>
    <t xml:space="preserve">                    ---------------------------------------------------------------------------------------------------------------</t>
  </si>
  <si>
    <t>Téléphone :   ---------------------------------------------------------------</t>
  </si>
  <si>
    <t>Fax :             ---------------------------------------------------------------</t>
  </si>
  <si>
    <t>Email            ---------------------------------------------------------------</t>
  </si>
  <si>
    <t>Date d'enregistrement :  ---------------------------------------------------------------</t>
  </si>
  <si>
    <t>Potentiel</t>
  </si>
  <si>
    <t>Porcelets</t>
  </si>
  <si>
    <t>Engraissement</t>
  </si>
  <si>
    <t xml:space="preserve">Aliment </t>
  </si>
  <si>
    <t>Porcs</t>
  </si>
  <si>
    <t>T.C.</t>
  </si>
  <si>
    <t>sortie</t>
  </si>
  <si>
    <t>Poids</t>
  </si>
  <si>
    <t>FUMIER ET LISIER</t>
  </si>
  <si>
    <t>Volume pour la période</t>
  </si>
  <si>
    <t>M.C.</t>
  </si>
  <si>
    <t>Analyses</t>
  </si>
  <si>
    <t>M.S.</t>
  </si>
  <si>
    <t>N total</t>
  </si>
  <si>
    <t>K</t>
  </si>
  <si>
    <t>kg/t</t>
  </si>
  <si>
    <t>Nbr Anal</t>
  </si>
  <si>
    <t>Valeur moyenne</t>
  </si>
  <si>
    <t>Engrais</t>
  </si>
  <si>
    <t>Pds entrée</t>
  </si>
  <si>
    <t>Pds sortie</t>
  </si>
  <si>
    <t>Pds</t>
  </si>
  <si>
    <t>sevrage</t>
  </si>
  <si>
    <t>CPAQ</t>
  </si>
  <si>
    <t xml:space="preserve">EST UNE ADAPTATION QUÉBÉCOISE </t>
  </si>
  <si>
    <t>DE</t>
  </si>
  <si>
    <t>Impact des modifications de conduite alimentaire</t>
  </si>
  <si>
    <t>Estimation des rejets d'azote et de phosphore</t>
  </si>
  <si>
    <t>par les animaux d'élevage, mai 1998, CPAQ</t>
  </si>
  <si>
    <t>Estimé des superficies nécessaires</t>
  </si>
  <si>
    <t>ha</t>
  </si>
  <si>
    <t>MS</t>
  </si>
  <si>
    <t>CONSEILLER</t>
  </si>
  <si>
    <t>TEL:</t>
  </si>
  <si>
    <t>Volume</t>
  </si>
  <si>
    <t>Ville</t>
  </si>
  <si>
    <t>Adresse</t>
  </si>
  <si>
    <t>CREAQ</t>
  </si>
  <si>
    <t>(L/jr)</t>
  </si>
  <si>
    <t>Nouricière</t>
  </si>
  <si>
    <t>kg de rejet N</t>
  </si>
  <si>
    <t>Porcs engraissements</t>
  </si>
  <si>
    <t>Mortalité</t>
  </si>
  <si>
    <t>nbre</t>
  </si>
  <si>
    <t>Responsable</t>
  </si>
  <si>
    <t>ÉLEVAGE</t>
  </si>
  <si>
    <t>Porcelets post sevrage</t>
  </si>
  <si>
    <t>PHASE 1</t>
  </si>
  <si>
    <t>PHASE 2</t>
  </si>
  <si>
    <t>PHASE 3</t>
  </si>
  <si>
    <t>Fertilité</t>
  </si>
  <si>
    <t>Proportion</t>
  </si>
  <si>
    <t>des sols</t>
  </si>
  <si>
    <t>Saturation</t>
  </si>
  <si>
    <t>251 - 500</t>
  </si>
  <si>
    <t>BAPORC</t>
  </si>
  <si>
    <t>BAPORC est une adaptation par Charles Bachand, agronome</t>
  </si>
  <si>
    <t xml:space="preserve">À partir de </t>
  </si>
  <si>
    <t>modifié avec les résultats du projet</t>
  </si>
  <si>
    <t>"Bilan alimentaite en production porcine"</t>
  </si>
  <si>
    <t>réalisé en 2001 en Montérégie-Est</t>
  </si>
  <si>
    <t>par</t>
  </si>
  <si>
    <t>Charles Bachand, agr</t>
  </si>
  <si>
    <t>Marius Bélanger, agr</t>
  </si>
  <si>
    <t>Daniel Schiettekatte,agr</t>
  </si>
  <si>
    <t>par la méthode du bilan alimentaire</t>
  </si>
  <si>
    <t>Réalisé d'après le document du CRAAQ</t>
  </si>
  <si>
    <t>At. De Charles Bachand</t>
  </si>
  <si>
    <t>Ministère de l'Agriculture et de l'Alimentation du Québec</t>
  </si>
  <si>
    <t xml:space="preserve">   Téléc.: (450) 778-6540</t>
  </si>
  <si>
    <t>charles.bachand@agr.gouv.qc.ca</t>
  </si>
  <si>
    <t>"BAPORC"</t>
  </si>
  <si>
    <t>Calcul des rejets d'azote et de phosphore des élevages de porc</t>
  </si>
  <si>
    <t>Production laitière, bovines et porcines</t>
  </si>
  <si>
    <t>phosphore des animaux d'élevages. "</t>
  </si>
  <si>
    <t xml:space="preserve"> Juin  1998</t>
  </si>
  <si>
    <t xml:space="preserve">                             </t>
  </si>
  <si>
    <t>Gestation</t>
  </si>
  <si>
    <t>Début</t>
  </si>
  <si>
    <t>Croissance</t>
  </si>
  <si>
    <t>Finition</t>
  </si>
  <si>
    <t>Litière</t>
  </si>
  <si>
    <t>SUPERFICIES DISPONIBLES</t>
  </si>
  <si>
    <t>Cultures</t>
  </si>
  <si>
    <t>Rendements</t>
  </si>
  <si>
    <r>
      <t>P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5</t>
    </r>
  </si>
  <si>
    <t>P2O5 / HECTARE</t>
  </si>
  <si>
    <t>Cultute</t>
  </si>
  <si>
    <t>Rendement</t>
  </si>
  <si>
    <t>Faible</t>
  </si>
  <si>
    <t>Moyen</t>
  </si>
  <si>
    <t>Bon</t>
  </si>
  <si>
    <t>Mais</t>
  </si>
  <si>
    <t xml:space="preserve">Bon </t>
  </si>
  <si>
    <t xml:space="preserve"> 0 - 30</t>
  </si>
  <si>
    <t>---</t>
  </si>
  <si>
    <t>Céréales &amp; Soya</t>
  </si>
  <si>
    <t xml:space="preserve">Moyen </t>
  </si>
  <si>
    <t>31 - 60</t>
  </si>
  <si>
    <t>&lt; 5</t>
  </si>
  <si>
    <t>Pairies &amp; Pâturages</t>
  </si>
  <si>
    <t>61 - 90</t>
  </si>
  <si>
    <t>5 à 10</t>
  </si>
  <si>
    <t>91 - 120</t>
  </si>
  <si>
    <t>&gt;10</t>
  </si>
  <si>
    <t>121 - 150</t>
  </si>
  <si>
    <t xml:space="preserve"> 151 - 250</t>
  </si>
  <si>
    <t>&lt;5</t>
  </si>
  <si>
    <t>501 et +</t>
  </si>
  <si>
    <t>TOTAL (%)</t>
  </si>
  <si>
    <t>Dépôt maximum en kg de P2O5 par hectare</t>
  </si>
  <si>
    <t xml:space="preserve"> la saturation en P. Déterminez la proportion des sols dans chaque niveau de fertilité de l'entreprise.</t>
  </si>
  <si>
    <t>Rendement:</t>
  </si>
  <si>
    <t>Bon : &gt;9 ton de mais, &gt; 3,5 ton de soya ou céréales, &gt;7 ton de prairies et pâturages</t>
  </si>
  <si>
    <t>1355, rue Gauvin, bureau 3300</t>
  </si>
  <si>
    <t>St-Hyacinthe, Québec, J2S 8W7</t>
  </si>
  <si>
    <t>Téléphone: (450) 778-6530 poste 231</t>
  </si>
  <si>
    <t>kg Max./ ha.</t>
  </si>
  <si>
    <t>Moyen: 7 à 9 ton de mais, 2,5 à 3,5 ton de soya ou céréales, 5 à 7 ton de prairies et pâturages</t>
  </si>
  <si>
    <t>Faible: &lt; 7 ton de mais, &lt; 2,5 ton de soya ou céréales, &lt; 5 ton de prairies et pâturages</t>
  </si>
  <si>
    <t>(Doit être égale à 100 %)</t>
  </si>
  <si>
    <t>Chaque cellule  en jaune contient un menu déroulant permettant de choisir la culture, le rendement, la fertilité,</t>
  </si>
  <si>
    <t>Cochettes</t>
  </si>
  <si>
    <t>Moyenne générale</t>
  </si>
  <si>
    <t>Ecart type</t>
  </si>
  <si>
    <t>kg / tête</t>
  </si>
  <si>
    <t xml:space="preserve">Si vos calculs diffèrent de ces </t>
  </si>
  <si>
    <t>de vos informations.</t>
  </si>
  <si>
    <t>valeurs assurez vous de la validité</t>
  </si>
  <si>
    <t>Densité</t>
  </si>
  <si>
    <t>kg/m.c.</t>
  </si>
  <si>
    <r>
      <t>P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</si>
  <si>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r>
      <t>K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</si>
  <si>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t>Analysé</t>
  </si>
  <si>
    <t>LISIER</t>
  </si>
  <si>
    <t>VALEUR</t>
  </si>
  <si>
    <t>STANDARD</t>
  </si>
  <si>
    <r>
      <t>K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0</t>
    </r>
  </si>
  <si>
    <t>par 1000 kg de gain</t>
  </si>
  <si>
    <r>
      <t>kg de rejet 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</si>
  <si>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t>CP12</t>
  </si>
  <si>
    <t>Matière sèche</t>
  </si>
  <si>
    <t>Poids morts</t>
  </si>
  <si>
    <t>kg /tête</t>
  </si>
  <si>
    <t>Indice consommation</t>
  </si>
  <si>
    <t>Poids morts engrais/porcelet</t>
  </si>
  <si>
    <t>SEVRAGE HÂTIF</t>
  </si>
  <si>
    <t xml:space="preserve"> et des performances techniques. Janvier 1996</t>
  </si>
  <si>
    <t>kg/tête Sortie porcelet</t>
  </si>
  <si>
    <t>Entrée engrais</t>
  </si>
  <si>
    <t>Cochettes et verrats</t>
  </si>
  <si>
    <t>Truies de réforme</t>
  </si>
  <si>
    <t>Jeunes Reproducteurs</t>
  </si>
  <si>
    <t>Type</t>
  </si>
  <si>
    <t>Ref. Maternité</t>
  </si>
  <si>
    <t>Ref. Pouponnière</t>
  </si>
  <si>
    <t>Ref. Finisseur</t>
  </si>
  <si>
    <t>Ref. Maternité-pouponnière</t>
  </si>
  <si>
    <t>Ref. Naisseur-Finisseur</t>
  </si>
  <si>
    <t>Ref. Pouponnière-Finisseur</t>
  </si>
  <si>
    <t>Ref. Cochette</t>
  </si>
  <si>
    <t>Vol réel Anal STD</t>
  </si>
  <si>
    <t>Porc</t>
  </si>
  <si>
    <t>Porcelet</t>
  </si>
  <si>
    <t>Pds gain</t>
  </si>
  <si>
    <t>Variation inv</t>
  </si>
  <si>
    <t>Standard</t>
  </si>
  <si>
    <t xml:space="preserve">Bilan: résultat de la ferme </t>
  </si>
  <si>
    <t>Standard &amp; Besoins:Voir l'onglet références</t>
  </si>
  <si>
    <t>Lactation</t>
  </si>
  <si>
    <t>Pré-engraissement</t>
  </si>
  <si>
    <t>PHASE I</t>
  </si>
  <si>
    <t>PHASE II</t>
  </si>
  <si>
    <t>PHASE III</t>
  </si>
  <si>
    <t>PHASE IV</t>
  </si>
</sst>
</file>

<file path=xl/styles.xml><?xml version="1.0" encoding="utf-8"?>
<styleSheet xmlns="http://schemas.openxmlformats.org/spreadsheetml/2006/main">
  <numFmts count="4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\ ;\(&quot;$&quot;#,##0\)"/>
    <numFmt numFmtId="189" formatCode="&quot;$&quot;#,##0\ ;[Red]\(&quot;$&quot;#,##0\)"/>
    <numFmt numFmtId="190" formatCode="&quot;$&quot;#,##0.00\ ;\(&quot;$&quot;#,##0.00\)"/>
    <numFmt numFmtId="191" formatCode="&quot;$&quot;#,##0.00\ ;[Red]\(&quot;$&quot;#,##0.00\)"/>
    <numFmt numFmtId="192" formatCode="m/d/yy\ h:mm"/>
    <numFmt numFmtId="193" formatCode="m/d"/>
    <numFmt numFmtId="194" formatCode="0.0"/>
    <numFmt numFmtId="195" formatCode="0.0%"/>
    <numFmt numFmtId="196" formatCode="#,##0.0"/>
    <numFmt numFmtId="197" formatCode="0.000%"/>
    <numFmt numFmtId="198" formatCode="0.00000"/>
    <numFmt numFmtId="199" formatCode="0.0000"/>
    <numFmt numFmtId="200" formatCode="0.000"/>
    <numFmt numFmtId="201" formatCode="0.000000"/>
    <numFmt numFmtId="202" formatCode="&quot;Vrai&quot;;&quot;Vrai&quot;;&quot;Faux&quot;"/>
    <numFmt numFmtId="203" formatCode="&quot;Actif&quot;;&quot;Actif&quot;;&quot;Inactif&quot;"/>
    <numFmt numFmtId="204" formatCode="d\ mmmm\ yyyy"/>
  </numFmts>
  <fonts count="44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6"/>
      <color indexed="8"/>
      <name val="Arial"/>
      <family val="2"/>
    </font>
    <font>
      <sz val="10"/>
      <name val="Arial"/>
      <family val="0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b/>
      <sz val="12"/>
      <color indexed="39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0"/>
    </font>
    <font>
      <i/>
      <u val="single"/>
      <sz val="12"/>
      <color indexed="8"/>
      <name val="Arial"/>
      <family val="2"/>
    </font>
    <font>
      <b/>
      <i/>
      <sz val="13"/>
      <color indexed="8"/>
      <name val="Arial"/>
      <family val="0"/>
    </font>
    <font>
      <sz val="12"/>
      <color indexed="24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6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darkTrellis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15" fontId="5" fillId="0" borderId="2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9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3" fontId="5" fillId="3" borderId="4" xfId="0" applyNumberFormat="1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/>
    </xf>
    <xf numFmtId="2" fontId="5" fillId="3" borderId="2" xfId="0" applyNumberFormat="1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2" fontId="4" fillId="3" borderId="5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194" fontId="5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194" fontId="5" fillId="3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3" fontId="5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19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0" xfId="0" applyFont="1" applyAlignment="1">
      <alignment horizontal="center"/>
    </xf>
    <xf numFmtId="195" fontId="5" fillId="0" borderId="5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195" fontId="5" fillId="0" borderId="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3" fontId="5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94" fontId="5" fillId="0" borderId="0" xfId="0" applyNumberFormat="1" applyFont="1" applyFill="1" applyAlignment="1" applyProtection="1">
      <alignment/>
      <protection/>
    </xf>
    <xf numFmtId="0" fontId="5" fillId="4" borderId="0" xfId="0" applyNumberFormat="1" applyFont="1" applyFill="1" applyAlignment="1" applyProtection="1">
      <alignment/>
      <protection hidden="1"/>
    </xf>
    <xf numFmtId="0" fontId="0" fillId="4" borderId="0" xfId="0" applyNumberFormat="1" applyFill="1" applyAlignment="1" applyProtection="1">
      <alignment/>
      <protection hidden="1"/>
    </xf>
    <xf numFmtId="0" fontId="0" fillId="4" borderId="0" xfId="0" applyFill="1" applyAlignment="1">
      <alignment/>
    </xf>
    <xf numFmtId="0" fontId="5" fillId="5" borderId="3" xfId="0" applyFont="1" applyFill="1" applyBorder="1" applyAlignment="1" applyProtection="1">
      <alignment/>
      <protection locked="0"/>
    </xf>
    <xf numFmtId="3" fontId="5" fillId="5" borderId="3" xfId="0" applyNumberFormat="1" applyFont="1" applyFill="1" applyBorder="1" applyAlignment="1" applyProtection="1">
      <alignment horizontal="center"/>
      <protection locked="0"/>
    </xf>
    <xf numFmtId="194" fontId="5" fillId="5" borderId="3" xfId="0" applyNumberFormat="1" applyFont="1" applyFill="1" applyBorder="1" applyAlignment="1" applyProtection="1">
      <alignment horizontal="center"/>
      <protection locked="0"/>
    </xf>
    <xf numFmtId="2" fontId="5" fillId="5" borderId="3" xfId="0" applyNumberFormat="1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3" xfId="21" applyNumberFormat="1" applyFont="1" applyBorder="1" applyAlignment="1">
      <alignment/>
    </xf>
    <xf numFmtId="9" fontId="5" fillId="0" borderId="4" xfId="28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4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4" fillId="2" borderId="6" xfId="0" applyFont="1" applyFill="1" applyBorder="1" applyAlignment="1">
      <alignment/>
    </xf>
    <xf numFmtId="0" fontId="4" fillId="0" borderId="9" xfId="0" applyFont="1" applyBorder="1" applyAlignment="1">
      <alignment/>
    </xf>
    <xf numFmtId="0" fontId="19" fillId="0" borderId="0" xfId="27">
      <alignment/>
      <protection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5" xfId="0" applyNumberFormat="1" applyFont="1" applyBorder="1" applyAlignment="1">
      <alignment/>
    </xf>
    <xf numFmtId="0" fontId="21" fillId="7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 quotePrefix="1">
      <alignment/>
    </xf>
    <xf numFmtId="0" fontId="23" fillId="0" borderId="0" xfId="0" applyFont="1" applyAlignment="1">
      <alignment/>
    </xf>
    <xf numFmtId="194" fontId="5" fillId="0" borderId="7" xfId="28" applyNumberFormat="1" applyFont="1" applyBorder="1" applyAlignment="1">
      <alignment/>
    </xf>
    <xf numFmtId="194" fontId="5" fillId="0" borderId="2" xfId="28" applyNumberFormat="1" applyFont="1" applyBorder="1" applyAlignment="1">
      <alignment/>
    </xf>
    <xf numFmtId="3" fontId="5" fillId="4" borderId="5" xfId="0" applyNumberFormat="1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/>
      <protection locked="0"/>
    </xf>
    <xf numFmtId="3" fontId="5" fillId="5" borderId="4" xfId="0" applyNumberFormat="1" applyFont="1" applyFill="1" applyBorder="1" applyAlignment="1" applyProtection="1">
      <alignment horizontal="center"/>
      <protection locked="0"/>
    </xf>
    <xf numFmtId="194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/>
      <protection/>
    </xf>
    <xf numFmtId="3" fontId="5" fillId="8" borderId="5" xfId="0" applyNumberFormat="1" applyFont="1" applyFill="1" applyBorder="1" applyAlignment="1" applyProtection="1">
      <alignment horizontal="center"/>
      <protection/>
    </xf>
    <xf numFmtId="194" fontId="4" fillId="4" borderId="5" xfId="0" applyNumberFormat="1" applyFont="1" applyFill="1" applyBorder="1" applyAlignment="1" applyProtection="1">
      <alignment horizontal="center"/>
      <protection/>
    </xf>
    <xf numFmtId="2" fontId="4" fillId="4" borderId="5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2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4" borderId="0" xfId="0" applyFont="1" applyFill="1" applyAlignment="1">
      <alignment/>
    </xf>
    <xf numFmtId="2" fontId="5" fillId="4" borderId="0" xfId="0" applyNumberFormat="1" applyFont="1" applyFill="1" applyAlignment="1">
      <alignment/>
    </xf>
    <xf numFmtId="2" fontId="5" fillId="4" borderId="0" xfId="0" applyNumberFormat="1" applyFont="1" applyFill="1" applyAlignment="1">
      <alignment horizontal="center"/>
    </xf>
    <xf numFmtId="3" fontId="19" fillId="0" borderId="4" xfId="0" applyNumberFormat="1" applyFont="1" applyBorder="1" applyAlignment="1">
      <alignment horizontal="center"/>
    </xf>
    <xf numFmtId="0" fontId="19" fillId="9" borderId="15" xfId="0" applyFont="1" applyFill="1" applyBorder="1" applyAlignment="1" applyProtection="1">
      <alignment horizontal="center"/>
      <protection locked="0"/>
    </xf>
    <xf numFmtId="0" fontId="19" fillId="9" borderId="5" xfId="0" applyFont="1" applyFill="1" applyBorder="1" applyAlignment="1" applyProtection="1">
      <alignment/>
      <protection locked="0"/>
    </xf>
    <xf numFmtId="0" fontId="19" fillId="9" borderId="4" xfId="0" applyFont="1" applyFill="1" applyBorder="1" applyAlignment="1" applyProtection="1">
      <alignment/>
      <protection locked="0"/>
    </xf>
    <xf numFmtId="0" fontId="19" fillId="4" borderId="0" xfId="0" applyFont="1" applyFill="1" applyAlignment="1">
      <alignment/>
    </xf>
    <xf numFmtId="2" fontId="19" fillId="4" borderId="0" xfId="0" applyNumberFormat="1" applyFont="1" applyFill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9" fillId="0" borderId="2" xfId="0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2" fontId="19" fillId="4" borderId="0" xfId="0" applyNumberFormat="1" applyFont="1" applyFill="1" applyAlignment="1">
      <alignment horizontal="right"/>
    </xf>
    <xf numFmtId="194" fontId="0" fillId="0" borderId="0" xfId="0" applyNumberFormat="1" applyAlignment="1">
      <alignment/>
    </xf>
    <xf numFmtId="1" fontId="5" fillId="3" borderId="5" xfId="0" applyNumberFormat="1" applyFont="1" applyFill="1" applyBorder="1" applyAlignment="1">
      <alignment horizontal="right"/>
    </xf>
    <xf numFmtId="194" fontId="19" fillId="4" borderId="0" xfId="0" applyNumberFormat="1" applyFont="1" applyFill="1" applyAlignment="1">
      <alignment/>
    </xf>
    <xf numFmtId="194" fontId="19" fillId="4" borderId="12" xfId="0" applyNumberFormat="1" applyFont="1" applyFill="1" applyBorder="1" applyAlignment="1">
      <alignment/>
    </xf>
    <xf numFmtId="194" fontId="19" fillId="4" borderId="3" xfId="0" applyNumberFormat="1" applyFont="1" applyFill="1" applyBorder="1" applyAlignment="1">
      <alignment/>
    </xf>
    <xf numFmtId="0" fontId="0" fillId="9" borderId="0" xfId="0" applyFill="1" applyAlignment="1" applyProtection="1">
      <alignment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4" fillId="10" borderId="6" xfId="0" applyFont="1" applyFill="1" applyBorder="1" applyAlignment="1" applyProtection="1">
      <alignment/>
      <protection locked="0"/>
    </xf>
    <xf numFmtId="0" fontId="5" fillId="10" borderId="6" xfId="0" applyFont="1" applyFill="1" applyBorder="1" applyAlignment="1" applyProtection="1">
      <alignment/>
      <protection locked="0"/>
    </xf>
    <xf numFmtId="0" fontId="5" fillId="10" borderId="7" xfId="0" applyFont="1" applyFill="1" applyBorder="1" applyAlignment="1" applyProtection="1">
      <alignment/>
      <protection locked="0"/>
    </xf>
    <xf numFmtId="0" fontId="4" fillId="10" borderId="0" xfId="0" applyFont="1" applyFill="1" applyAlignment="1" applyProtection="1">
      <alignment/>
      <protection locked="0"/>
    </xf>
    <xf numFmtId="0" fontId="5" fillId="10" borderId="0" xfId="0" applyFont="1" applyFill="1" applyAlignment="1" applyProtection="1">
      <alignment/>
      <protection locked="0"/>
    </xf>
    <xf numFmtId="0" fontId="5" fillId="10" borderId="8" xfId="0" applyFont="1" applyFill="1" applyBorder="1" applyAlignment="1" applyProtection="1">
      <alignment/>
      <protection locked="0"/>
    </xf>
    <xf numFmtId="3" fontId="5" fillId="10" borderId="5" xfId="0" applyNumberFormat="1" applyFont="1" applyFill="1" applyBorder="1" applyAlignment="1" applyProtection="1">
      <alignment horizontal="right"/>
      <protection locked="0"/>
    </xf>
    <xf numFmtId="1" fontId="5" fillId="10" borderId="5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1" fillId="0" borderId="0" xfId="0" applyFont="1" applyAlignment="1" applyProtection="1">
      <alignment/>
      <protection/>
    </xf>
    <xf numFmtId="2" fontId="4" fillId="4" borderId="14" xfId="0" applyNumberFormat="1" applyFont="1" applyFill="1" applyBorder="1" applyAlignment="1" applyProtection="1">
      <alignment horizontal="center"/>
      <protection/>
    </xf>
    <xf numFmtId="2" fontId="4" fillId="4" borderId="16" xfId="0" applyNumberFormat="1" applyFont="1" applyFill="1" applyBorder="1" applyAlignment="1" applyProtection="1">
      <alignment horizontal="center"/>
      <protection/>
    </xf>
    <xf numFmtId="2" fontId="4" fillId="4" borderId="15" xfId="0" applyNumberFormat="1" applyFont="1" applyFill="1" applyBorder="1" applyAlignment="1" applyProtection="1">
      <alignment horizontal="center"/>
      <protection/>
    </xf>
    <xf numFmtId="196" fontId="19" fillId="11" borderId="0" xfId="0" applyNumberFormat="1" applyFont="1" applyFill="1" applyAlignment="1">
      <alignment/>
    </xf>
    <xf numFmtId="196" fontId="5" fillId="0" borderId="0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10" borderId="6" xfId="0" applyFont="1" applyFill="1" applyBorder="1" applyAlignment="1" applyProtection="1">
      <alignment/>
      <protection/>
    </xf>
    <xf numFmtId="0" fontId="5" fillId="10" borderId="0" xfId="0" applyFont="1" applyFill="1" applyAlignment="1" applyProtection="1">
      <alignment/>
      <protection/>
    </xf>
    <xf numFmtId="3" fontId="5" fillId="0" borderId="5" xfId="0" applyNumberFormat="1" applyFont="1" applyBorder="1" applyAlignment="1" applyProtection="1">
      <alignment horizontal="center"/>
      <protection/>
    </xf>
    <xf numFmtId="0" fontId="0" fillId="9" borderId="3" xfId="0" applyNumberFormat="1" applyFill="1" applyBorder="1" applyAlignment="1" applyProtection="1">
      <alignment horizontal="center"/>
      <protection locked="0"/>
    </xf>
    <xf numFmtId="2" fontId="0" fillId="9" borderId="3" xfId="0" applyNumberFormat="1" applyFill="1" applyBorder="1" applyAlignment="1" applyProtection="1">
      <alignment horizontal="center"/>
      <protection locked="0"/>
    </xf>
    <xf numFmtId="2" fontId="19" fillId="9" borderId="5" xfId="0" applyNumberFormat="1" applyFont="1" applyFill="1" applyBorder="1" applyAlignment="1" applyProtection="1">
      <alignment horizontal="center"/>
      <protection locked="0"/>
    </xf>
    <xf numFmtId="2" fontId="5" fillId="0" borderId="4" xfId="28" applyNumberFormat="1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4" fillId="10" borderId="0" xfId="0" applyFont="1" applyFill="1" applyBorder="1" applyAlignment="1" applyProtection="1">
      <alignment/>
      <protection locked="0"/>
    </xf>
    <xf numFmtId="0" fontId="5" fillId="10" borderId="0" xfId="0" applyFont="1" applyFill="1" applyBorder="1" applyAlignment="1" applyProtection="1">
      <alignment/>
      <protection locked="0"/>
    </xf>
    <xf numFmtId="0" fontId="5" fillId="10" borderId="0" xfId="0" applyFont="1" applyFill="1" applyBorder="1" applyAlignment="1" applyProtection="1">
      <alignment/>
      <protection/>
    </xf>
    <xf numFmtId="0" fontId="4" fillId="9" borderId="12" xfId="0" applyFont="1" applyFill="1" applyBorder="1" applyAlignment="1" applyProtection="1">
      <alignment/>
      <protection locked="0"/>
    </xf>
    <xf numFmtId="0" fontId="5" fillId="9" borderId="13" xfId="0" applyFont="1" applyFill="1" applyBorder="1" applyAlignment="1" applyProtection="1">
      <alignment/>
      <protection locked="0"/>
    </xf>
    <xf numFmtId="0" fontId="5" fillId="9" borderId="9" xfId="0" applyFont="1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3" fontId="5" fillId="10" borderId="5" xfId="0" applyNumberFormat="1" applyFont="1" applyFill="1" applyBorder="1" applyAlignment="1" applyProtection="1">
      <alignment horizontal="center"/>
      <protection locked="0"/>
    </xf>
    <xf numFmtId="3" fontId="5" fillId="9" borderId="5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Alignment="1">
      <alignment horizontal="center"/>
    </xf>
    <xf numFmtId="2" fontId="19" fillId="4" borderId="3" xfId="0" applyNumberFormat="1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center"/>
      <protection locked="0"/>
    </xf>
    <xf numFmtId="2" fontId="5" fillId="5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/>
    </xf>
    <xf numFmtId="0" fontId="5" fillId="9" borderId="9" xfId="0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Alignment="1" applyProtection="1">
      <alignment horizontal="center"/>
      <protection locked="0"/>
    </xf>
    <xf numFmtId="1" fontId="1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8" applyFont="1" applyAlignment="1">
      <alignment horizontal="center"/>
    </xf>
    <xf numFmtId="0" fontId="30" fillId="0" borderId="0" xfId="0" applyFont="1" applyBorder="1" applyAlignment="1">
      <alignment/>
    </xf>
    <xf numFmtId="3" fontId="5" fillId="0" borderId="6" xfId="0" applyNumberFormat="1" applyFont="1" applyFill="1" applyBorder="1" applyAlignment="1" applyProtection="1">
      <alignment horizontal="center"/>
      <protection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6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17" fontId="32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3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Font="1" applyFill="1" applyBorder="1" applyAlignment="1" applyProtection="1">
      <alignment horizontal="center"/>
      <protection locked="0"/>
    </xf>
    <xf numFmtId="196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/>
      <protection/>
    </xf>
    <xf numFmtId="0" fontId="30" fillId="0" borderId="9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19" fillId="0" borderId="3" xfId="0" applyFont="1" applyBorder="1" applyAlignment="1">
      <alignment horizontal="center"/>
    </xf>
    <xf numFmtId="196" fontId="5" fillId="0" borderId="0" xfId="0" applyNumberFormat="1" applyFont="1" applyFill="1" applyBorder="1" applyAlignment="1" quotePrefix="1">
      <alignment horizontal="center"/>
    </xf>
    <xf numFmtId="0" fontId="19" fillId="9" borderId="3" xfId="0" applyFont="1" applyFill="1" applyBorder="1" applyAlignment="1" applyProtection="1">
      <alignment/>
      <protection locked="0"/>
    </xf>
    <xf numFmtId="0" fontId="19" fillId="9" borderId="7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1" fontId="19" fillId="4" borderId="0" xfId="28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30" fillId="12" borderId="5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 locked="0"/>
    </xf>
    <xf numFmtId="0" fontId="3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/>
    </xf>
    <xf numFmtId="1" fontId="19" fillId="0" borderId="6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196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2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30" fillId="0" borderId="12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/>
      <protection/>
    </xf>
    <xf numFmtId="0" fontId="0" fillId="9" borderId="4" xfId="0" applyFill="1" applyBorder="1" applyAlignment="1" applyProtection="1">
      <alignment horizontal="center"/>
      <protection locked="0"/>
    </xf>
    <xf numFmtId="0" fontId="19" fillId="9" borderId="14" xfId="0" applyFont="1" applyFill="1" applyBorder="1" applyAlignment="1" applyProtection="1">
      <alignment/>
      <protection/>
    </xf>
    <xf numFmtId="0" fontId="5" fillId="0" borderId="8" xfId="0" applyFont="1" applyBorder="1" applyAlignment="1">
      <alignment horizontal="center"/>
    </xf>
    <xf numFmtId="196" fontId="5" fillId="0" borderId="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94" fontId="5" fillId="0" borderId="8" xfId="0" applyNumberFormat="1" applyFont="1" applyBorder="1" applyAlignment="1">
      <alignment horizontal="center"/>
    </xf>
    <xf numFmtId="0" fontId="5" fillId="6" borderId="14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19" fillId="0" borderId="12" xfId="0" applyFont="1" applyBorder="1" applyAlignment="1" applyProtection="1">
      <alignment horizontal="center"/>
      <protection/>
    </xf>
    <xf numFmtId="3" fontId="5" fillId="9" borderId="14" xfId="0" applyNumberFormat="1" applyFont="1" applyFill="1" applyBorder="1" applyAlignment="1" applyProtection="1">
      <alignment horizontal="center"/>
      <protection locked="0"/>
    </xf>
    <xf numFmtId="3" fontId="5" fillId="9" borderId="13" xfId="0" applyNumberFormat="1" applyFont="1" applyFill="1" applyBorder="1" applyAlignment="1" applyProtection="1">
      <alignment horizontal="center"/>
      <protection locked="0"/>
    </xf>
    <xf numFmtId="3" fontId="19" fillId="4" borderId="14" xfId="0" applyNumberFormat="1" applyFont="1" applyFill="1" applyBorder="1" applyAlignment="1" applyProtection="1">
      <alignment horizontal="center"/>
      <protection/>
    </xf>
    <xf numFmtId="3" fontId="4" fillId="4" borderId="14" xfId="0" applyNumberFormat="1" applyFont="1" applyFill="1" applyBorder="1" applyAlignment="1" applyProtection="1">
      <alignment horizontal="center"/>
      <protection/>
    </xf>
    <xf numFmtId="3" fontId="19" fillId="11" borderId="0" xfId="0" applyNumberFormat="1" applyFont="1" applyFill="1" applyAlignment="1">
      <alignment horizontal="center"/>
    </xf>
    <xf numFmtId="3" fontId="0" fillId="0" borderId="0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 horizontal="center"/>
    </xf>
    <xf numFmtId="2" fontId="19" fillId="9" borderId="16" xfId="0" applyNumberFormat="1" applyFont="1" applyFill="1" applyBorder="1" applyAlignment="1" applyProtection="1">
      <alignment horizontal="center"/>
      <protection locked="0"/>
    </xf>
    <xf numFmtId="2" fontId="19" fillId="9" borderId="15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19" fillId="0" borderId="8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2" fontId="19" fillId="0" borderId="8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96" fontId="5" fillId="10" borderId="5" xfId="0" applyNumberFormat="1" applyFont="1" applyFill="1" applyBorder="1" applyAlignment="1" applyProtection="1">
      <alignment horizontal="center"/>
      <protection locked="0"/>
    </xf>
    <xf numFmtId="194" fontId="5" fillId="10" borderId="5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19" fillId="0" borderId="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2" fontId="8" fillId="3" borderId="7" xfId="0" applyNumberFormat="1" applyFont="1" applyFill="1" applyBorder="1" applyAlignment="1">
      <alignment/>
    </xf>
    <xf numFmtId="2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7" xfId="26" applyFont="1" applyBorder="1" applyProtection="1">
      <alignment/>
      <protection/>
    </xf>
    <xf numFmtId="2" fontId="5" fillId="3" borderId="8" xfId="0" applyNumberFormat="1" applyFont="1" applyFill="1" applyBorder="1" applyAlignment="1">
      <alignment/>
    </xf>
    <xf numFmtId="0" fontId="8" fillId="4" borderId="8" xfId="0" applyFont="1" applyFill="1" applyBorder="1" applyAlignment="1" applyProtection="1">
      <alignment/>
      <protection/>
    </xf>
    <xf numFmtId="3" fontId="5" fillId="9" borderId="16" xfId="0" applyNumberFormat="1" applyFont="1" applyFill="1" applyBorder="1" applyAlignment="1" applyProtection="1">
      <alignment horizontal="center"/>
      <protection locked="0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 applyProtection="1">
      <alignment horizontal="center"/>
      <protection/>
    </xf>
    <xf numFmtId="4" fontId="5" fillId="0" borderId="5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2" fontId="19" fillId="9" borderId="6" xfId="0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194" fontId="19" fillId="9" borderId="9" xfId="0" applyNumberFormat="1" applyFont="1" applyFill="1" applyBorder="1" applyAlignment="1" applyProtection="1">
      <alignment horizontal="center"/>
      <protection locked="0"/>
    </xf>
    <xf numFmtId="1" fontId="5" fillId="3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196" fontId="5" fillId="10" borderId="3" xfId="0" applyNumberFormat="1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196" fontId="5" fillId="10" borderId="4" xfId="0" applyNumberFormat="1" applyFont="1" applyFill="1" applyBorder="1" applyAlignment="1" applyProtection="1">
      <alignment horizontal="center"/>
      <protection locked="0"/>
    </xf>
    <xf numFmtId="196" fontId="5" fillId="9" borderId="5" xfId="0" applyNumberFormat="1" applyFont="1" applyFill="1" applyBorder="1" applyAlignment="1" applyProtection="1">
      <alignment horizontal="center"/>
      <protection locked="0"/>
    </xf>
    <xf numFmtId="3" fontId="5" fillId="10" borderId="2" xfId="0" applyNumberFormat="1" applyFont="1" applyFill="1" applyBorder="1" applyAlignment="1" applyProtection="1">
      <alignment horizontal="center"/>
      <protection locked="0"/>
    </xf>
    <xf numFmtId="3" fontId="5" fillId="10" borderId="3" xfId="0" applyNumberFormat="1" applyFont="1" applyFill="1" applyBorder="1" applyAlignment="1" applyProtection="1">
      <alignment horizontal="center"/>
      <protection locked="0"/>
    </xf>
    <xf numFmtId="3" fontId="5" fillId="10" borderId="4" xfId="0" applyNumberFormat="1" applyFont="1" applyFill="1" applyBorder="1" applyAlignment="1" applyProtection="1">
      <alignment horizontal="center"/>
      <protection locked="0"/>
    </xf>
    <xf numFmtId="196" fontId="5" fillId="9" borderId="4" xfId="0" applyNumberFormat="1" applyFont="1" applyFill="1" applyBorder="1" applyAlignment="1" applyProtection="1">
      <alignment horizontal="center"/>
      <protection locked="0"/>
    </xf>
    <xf numFmtId="196" fontId="5" fillId="9" borderId="15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0" fontId="30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0" fillId="0" borderId="14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</cellXfs>
  <cellStyles count="17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Bilsimpl_vers2" xfId="26"/>
    <cellStyle name="Normal_Feuil1" xfId="27"/>
    <cellStyle name="Percent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Rejet d'azote selon la référence utilisée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425"/>
          <c:w val="0.982"/>
          <c:h val="0.891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Standard!$D$23:$F$23</c:f>
              <c:strCache>
                <c:ptCount val="3"/>
                <c:pt idx="0">
                  <c:v>Bilan</c:v>
                </c:pt>
                <c:pt idx="1">
                  <c:v>Standard</c:v>
                </c:pt>
                <c:pt idx="2">
                  <c:v>Potentiel</c:v>
                </c:pt>
              </c:strCache>
            </c:strRef>
          </c:cat>
          <c:val>
            <c:numRef>
              <c:f>Standard!$D$28:$F$28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0"/>
        <c:lblOffset val="100"/>
        <c:noMultiLvlLbl val="0"/>
      </c:catAx>
      <c:valAx>
        <c:axId val="24240391"/>
        <c:scaling>
          <c:orientation val="minMax"/>
          <c:max val="1.1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Devenir de l'azote ingéré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0"/>
      <c:depthPercent val="200"/>
      <c:rAngAx val="1"/>
    </c:view3D>
    <c:plotArea>
      <c:layout>
        <c:manualLayout>
          <c:xMode val="edge"/>
          <c:yMode val="edge"/>
          <c:x val="0.2335"/>
          <c:y val="0.20875"/>
          <c:w val="0.55625"/>
          <c:h val="0.578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Standard!$B$10:$B$12</c:f>
              <c:strCache>
                <c:ptCount val="3"/>
                <c:pt idx="0">
                  <c:v>Retenu</c:v>
                </c:pt>
                <c:pt idx="1">
                  <c:v>Air</c:v>
                </c:pt>
                <c:pt idx="2">
                  <c:v>Lisier</c:v>
                </c:pt>
              </c:strCache>
            </c:strRef>
          </c:cat>
          <c:val>
            <c:numRef>
              <c:f>Standard!$C$10:$C$12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Rejet de P2O5 selon la référence utilisée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9275"/>
          <c:w val="0.98225"/>
          <c:h val="0.8927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Standard!$D$33:$F$33</c:f>
              <c:strCache>
                <c:ptCount val="3"/>
                <c:pt idx="0">
                  <c:v>Bilan</c:v>
                </c:pt>
                <c:pt idx="1">
                  <c:v>Standard</c:v>
                </c:pt>
                <c:pt idx="2">
                  <c:v>Potentiel</c:v>
                </c:pt>
              </c:strCache>
            </c:strRef>
          </c:cat>
          <c:val>
            <c:numRef>
              <c:f>Standard!$D$38:$F$38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0"/>
        <c:lblOffset val="100"/>
        <c:noMultiLvlLbl val="0"/>
      </c:catAx>
      <c:valAx>
        <c:axId val="17314625"/>
        <c:scaling>
          <c:orientation val="minMax"/>
          <c:max val="1.1"/>
          <c:min val="0.3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ToFit="1"/>
  </sheetViews>
  <pageMargins left="0.7874015748031497" right="0.7874015748031497" top="0.984251968503937" bottom="0.984251968503937" header="0.5118110236220472" footer="0.5118110236220472"/>
  <pageSetup horizontalDpi="300" verticalDpi="300" orientation="landscape"/>
  <headerFooter>
    <oddHeader>&amp;A</oddHeader>
    <oddFooter>&amp;CPage &amp;P&amp;R&amp;F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23</xdr:row>
      <xdr:rowOff>57150</xdr:rowOff>
    </xdr:from>
    <xdr:to>
      <xdr:col>4</xdr:col>
      <xdr:colOff>247650</xdr:colOff>
      <xdr:row>25</xdr:row>
      <xdr:rowOff>57150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171950"/>
          <a:ext cx="7810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504825</xdr:colOff>
      <xdr:row>23</xdr:row>
      <xdr:rowOff>95250</xdr:rowOff>
    </xdr:from>
    <xdr:to>
      <xdr:col>5</xdr:col>
      <xdr:colOff>457200</xdr:colOff>
      <xdr:row>25</xdr:row>
      <xdr:rowOff>38100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210050"/>
          <a:ext cx="714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6143625"/>
    <xdr:graphicFrame>
      <xdr:nvGraphicFramePr>
        <xdr:cNvPr id="1" name="Shape 1025"/>
        <xdr:cNvGraphicFramePr/>
      </xdr:nvGraphicFramePr>
      <xdr:xfrm>
        <a:off x="0" y="0"/>
        <a:ext cx="9191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6143625"/>
    <xdr:graphicFrame>
      <xdr:nvGraphicFramePr>
        <xdr:cNvPr id="1" name="Shape 1025"/>
        <xdr:cNvGraphicFramePr/>
      </xdr:nvGraphicFramePr>
      <xdr:xfrm>
        <a:off x="0" y="0"/>
        <a:ext cx="9191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6143625"/>
    <xdr:graphicFrame>
      <xdr:nvGraphicFramePr>
        <xdr:cNvPr id="1" name="Shape 1025"/>
        <xdr:cNvGraphicFramePr/>
      </xdr:nvGraphicFramePr>
      <xdr:xfrm>
        <a:off x="0" y="0"/>
        <a:ext cx="9191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61</xdr:row>
      <xdr:rowOff>0</xdr:rowOff>
    </xdr:from>
    <xdr:to>
      <xdr:col>7</xdr:col>
      <xdr:colOff>676275</xdr:colOff>
      <xdr:row>77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6010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F37"/>
  <sheetViews>
    <sheetView showGridLines="0" showRowColHeaders="0" zoomScale="90" zoomScaleNormal="90" workbookViewId="0" topLeftCell="A1">
      <selection activeCell="E12" sqref="E12"/>
    </sheetView>
  </sheetViews>
  <sheetFormatPr defaultColWidth="11.421875" defaultRowHeight="12.75"/>
  <cols>
    <col min="1" max="1" width="5.7109375" style="54" customWidth="1"/>
    <col min="2" max="16384" width="11.421875" style="54" customWidth="1"/>
  </cols>
  <sheetData>
    <row r="1" ht="12.75">
      <c r="E1" s="206" t="s">
        <v>201</v>
      </c>
    </row>
    <row r="2" spans="4:6" ht="12.75">
      <c r="D2" s="206" t="s">
        <v>170</v>
      </c>
      <c r="E2" s="206"/>
      <c r="F2" s="206"/>
    </row>
    <row r="3" ht="12.75">
      <c r="E3" s="69" t="s">
        <v>171</v>
      </c>
    </row>
    <row r="4" ht="15.75">
      <c r="E4" s="142" t="s">
        <v>0</v>
      </c>
    </row>
    <row r="5" ht="18">
      <c r="E5" s="131" t="s">
        <v>1</v>
      </c>
    </row>
    <row r="6" ht="18">
      <c r="E6" s="131" t="s">
        <v>2</v>
      </c>
    </row>
    <row r="7" ht="15">
      <c r="E7" s="132" t="s">
        <v>3</v>
      </c>
    </row>
    <row r="8" ht="18">
      <c r="E8" s="129" t="s">
        <v>4</v>
      </c>
    </row>
    <row r="9" ht="18">
      <c r="E9" s="129" t="s">
        <v>5</v>
      </c>
    </row>
    <row r="10" ht="15">
      <c r="E10" s="128" t="s">
        <v>172</v>
      </c>
    </row>
    <row r="11" ht="15">
      <c r="E11" s="128" t="s">
        <v>293</v>
      </c>
    </row>
    <row r="13" ht="12.75">
      <c r="E13" s="130" t="s">
        <v>6</v>
      </c>
    </row>
    <row r="14" ht="12.75">
      <c r="E14" s="130" t="s">
        <v>7</v>
      </c>
    </row>
    <row r="15" ht="12.75">
      <c r="E15" s="130" t="s">
        <v>8</v>
      </c>
    </row>
    <row r="16" ht="12.75">
      <c r="E16" s="130" t="s">
        <v>9</v>
      </c>
    </row>
    <row r="17" ht="12.75">
      <c r="E17" s="130"/>
    </row>
    <row r="18" ht="12.75">
      <c r="E18" s="141" t="s">
        <v>10</v>
      </c>
    </row>
    <row r="19" ht="12.75">
      <c r="E19" s="141" t="s">
        <v>11</v>
      </c>
    </row>
    <row r="20" spans="4:5" ht="12.75">
      <c r="D20"/>
      <c r="E20" s="130"/>
    </row>
    <row r="21" spans="4:5" ht="12.75">
      <c r="D21"/>
      <c r="E21" s="130" t="s">
        <v>12</v>
      </c>
    </row>
    <row r="22" spans="4:5" ht="12.75">
      <c r="D22"/>
      <c r="E22" s="138" t="s">
        <v>13</v>
      </c>
    </row>
    <row r="23" ht="12.75">
      <c r="E23" s="138" t="s">
        <v>14</v>
      </c>
    </row>
    <row r="24" ht="12.75"/>
    <row r="25" ht="12.75">
      <c r="E25"/>
    </row>
    <row r="26" ht="12.75">
      <c r="E26" s="134"/>
    </row>
    <row r="27" spans="3:5" ht="12.75">
      <c r="C27"/>
      <c r="E27" s="69" t="s">
        <v>202</v>
      </c>
    </row>
    <row r="28" ht="12.75">
      <c r="E28" s="54" t="s">
        <v>203</v>
      </c>
    </row>
    <row r="29" ht="12.75">
      <c r="E29" s="205" t="s">
        <v>173</v>
      </c>
    </row>
    <row r="30" ht="12.75">
      <c r="E30" s="205" t="s">
        <v>174</v>
      </c>
    </row>
    <row r="31" ht="12.75">
      <c r="E31" s="205" t="s">
        <v>204</v>
      </c>
    </row>
    <row r="32" ht="12.75">
      <c r="E32" s="69" t="s">
        <v>205</v>
      </c>
    </row>
    <row r="33" ht="12.75">
      <c r="E33" s="69" t="s">
        <v>206</v>
      </c>
    </row>
    <row r="34" ht="12.75">
      <c r="E34" s="54" t="s">
        <v>207</v>
      </c>
    </row>
    <row r="35" ht="12.75">
      <c r="E35" s="69" t="s">
        <v>208</v>
      </c>
    </row>
    <row r="36" ht="12.75">
      <c r="E36" s="69" t="s">
        <v>209</v>
      </c>
    </row>
    <row r="37" ht="12.75">
      <c r="E37" s="69" t="s">
        <v>210</v>
      </c>
    </row>
  </sheetData>
  <sheetProtection password="DC87" sheet="1" objects="1" scenarios="1"/>
  <printOptions horizontalCentered="1" verticalCentered="1"/>
  <pageMargins left="0.3937007874015748" right="0.54" top="0.984251968503937" bottom="1.04" header="0.5118110236220472" footer="0.5118110236220472"/>
  <pageSetup horizontalDpi="300" verticalDpi="300" orientation="portrait" r:id="rId2"/>
  <headerFooter alignWithMargins="0">
    <oddHeader>&amp;L&amp;"Arial,Gras"Estimation des rejets d'azote et de phosphore&amp;RCorpen
</oddHeader>
    <oddFooter>&amp;R&amp;F -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2:F49"/>
  <sheetViews>
    <sheetView showGridLines="0" showRowColHeaders="0" workbookViewId="0" topLeftCell="A1">
      <selection activeCell="C22" sqref="C22"/>
    </sheetView>
  </sheetViews>
  <sheetFormatPr defaultColWidth="11.421875" defaultRowHeight="12.75"/>
  <cols>
    <col min="1" max="1" width="8.8515625" style="0" customWidth="1"/>
    <col min="2" max="2" width="6.57421875" style="0" customWidth="1"/>
  </cols>
  <sheetData>
    <row r="2" spans="2:4" ht="15.75">
      <c r="B2" s="150" t="s">
        <v>217</v>
      </c>
      <c r="C2" s="54"/>
      <c r="D2" s="54"/>
    </row>
    <row r="3" spans="2:4" ht="18">
      <c r="B3" s="144" t="s">
        <v>218</v>
      </c>
      <c r="C3" s="54"/>
      <c r="D3" s="54"/>
    </row>
    <row r="4" spans="2:4" ht="18">
      <c r="B4" s="144" t="s">
        <v>211</v>
      </c>
      <c r="C4" s="54"/>
      <c r="D4" s="54"/>
    </row>
    <row r="5" spans="2:4" ht="15" customHeight="1">
      <c r="B5" s="144"/>
      <c r="C5" s="54"/>
      <c r="D5" s="54"/>
    </row>
    <row r="6" ht="18">
      <c r="B6" s="146" t="s">
        <v>212</v>
      </c>
    </row>
    <row r="7" ht="16.5">
      <c r="B7" s="151" t="s">
        <v>126</v>
      </c>
    </row>
    <row r="8" ht="16.5">
      <c r="B8" s="151" t="s">
        <v>220</v>
      </c>
    </row>
    <row r="9" ht="16.5">
      <c r="B9" s="151" t="s">
        <v>219</v>
      </c>
    </row>
    <row r="10" ht="15.75" customHeight="1">
      <c r="D10" s="269" t="s">
        <v>221</v>
      </c>
    </row>
    <row r="11" spans="2:4" ht="15">
      <c r="B11" s="145" t="s">
        <v>127</v>
      </c>
      <c r="C11" s="54"/>
      <c r="D11" s="54"/>
    </row>
    <row r="12" spans="2:4" ht="15">
      <c r="B12" s="143" t="s">
        <v>128</v>
      </c>
      <c r="C12" s="54"/>
      <c r="D12" s="54"/>
    </row>
    <row r="13" spans="2:4" ht="3.75" customHeight="1">
      <c r="B13" s="143"/>
      <c r="C13" s="54"/>
      <c r="D13" s="54"/>
    </row>
    <row r="14" spans="2:4" ht="15">
      <c r="B14" s="145" t="s">
        <v>129</v>
      </c>
      <c r="C14" s="54"/>
      <c r="D14" s="54"/>
    </row>
    <row r="15" spans="2:4" ht="15.75">
      <c r="B15" s="147" t="s">
        <v>130</v>
      </c>
      <c r="C15" s="54"/>
      <c r="D15" s="54"/>
    </row>
    <row r="16" spans="2:4" ht="6" customHeight="1">
      <c r="B16" s="143"/>
      <c r="C16" s="54"/>
      <c r="D16" s="54"/>
    </row>
    <row r="17" spans="2:4" ht="15">
      <c r="B17" s="54"/>
      <c r="C17" s="148" t="s">
        <v>131</v>
      </c>
      <c r="D17" s="54"/>
    </row>
    <row r="18" spans="2:4" ht="15">
      <c r="B18" s="128"/>
      <c r="C18" s="207" t="s">
        <v>213</v>
      </c>
      <c r="D18" s="54"/>
    </row>
    <row r="19" spans="2:4" ht="15">
      <c r="B19" s="128"/>
      <c r="C19" s="54" t="s">
        <v>214</v>
      </c>
      <c r="D19" s="54"/>
    </row>
    <row r="20" spans="2:3" ht="15">
      <c r="B20" s="133"/>
      <c r="C20" s="54" t="s">
        <v>260</v>
      </c>
    </row>
    <row r="21" ht="12.75">
      <c r="C21" s="54" t="s">
        <v>261</v>
      </c>
    </row>
    <row r="22" spans="3:6" ht="12.75">
      <c r="C22" s="54" t="s">
        <v>215</v>
      </c>
      <c r="F22" s="207" t="s">
        <v>262</v>
      </c>
    </row>
    <row r="23" spans="2:3" ht="7.5" customHeight="1">
      <c r="B23" s="130"/>
      <c r="C23" s="54"/>
    </row>
    <row r="24" spans="2:3" ht="15">
      <c r="B24" s="130"/>
      <c r="C24" s="149" t="s">
        <v>132</v>
      </c>
    </row>
    <row r="25" spans="2:3" ht="12.75">
      <c r="B25" s="130"/>
      <c r="C25" s="54" t="s">
        <v>216</v>
      </c>
    </row>
    <row r="26" spans="2:3" ht="4.5" customHeight="1">
      <c r="B26" s="130"/>
      <c r="C26" s="54"/>
    </row>
    <row r="27" ht="12.75">
      <c r="B27" s="141"/>
    </row>
    <row r="28" ht="15">
      <c r="B28" s="145" t="s">
        <v>133</v>
      </c>
    </row>
    <row r="29" ht="15">
      <c r="B29" s="143" t="s">
        <v>134</v>
      </c>
    </row>
    <row r="30" ht="7.5" customHeight="1"/>
    <row r="31" ht="15">
      <c r="A31" s="152" t="s">
        <v>135</v>
      </c>
    </row>
    <row r="33" ht="15.75">
      <c r="B33" s="150" t="s">
        <v>217</v>
      </c>
    </row>
    <row r="34" ht="18">
      <c r="B34" s="144" t="s">
        <v>1</v>
      </c>
    </row>
    <row r="35" ht="18">
      <c r="B35" s="144" t="s">
        <v>211</v>
      </c>
    </row>
    <row r="36" ht="18">
      <c r="B36" s="153" t="s">
        <v>136</v>
      </c>
    </row>
    <row r="38" ht="12.75">
      <c r="B38" s="54" t="s">
        <v>137</v>
      </c>
    </row>
    <row r="39" ht="12.75">
      <c r="B39" s="54" t="s">
        <v>138</v>
      </c>
    </row>
    <row r="40" ht="12.75">
      <c r="B40" s="54" t="s">
        <v>139</v>
      </c>
    </row>
    <row r="41" ht="18" customHeight="1">
      <c r="B41" s="54" t="s">
        <v>140</v>
      </c>
    </row>
    <row r="42" ht="18" customHeight="1">
      <c r="B42" s="54" t="s">
        <v>141</v>
      </c>
    </row>
    <row r="43" ht="18" customHeight="1">
      <c r="B43" s="54" t="s">
        <v>142</v>
      </c>
    </row>
    <row r="44" ht="18" customHeight="1">
      <c r="B44" s="54" t="s">
        <v>143</v>
      </c>
    </row>
    <row r="45" ht="18" customHeight="1">
      <c r="B45" s="54" t="s">
        <v>144</v>
      </c>
    </row>
    <row r="46" ht="18" customHeight="1">
      <c r="B46" s="54" t="s">
        <v>145</v>
      </c>
    </row>
    <row r="47" ht="18" customHeight="1">
      <c r="B47" s="54"/>
    </row>
    <row r="48" ht="18" customHeight="1">
      <c r="B48" s="54"/>
    </row>
    <row r="49" ht="18" customHeight="1">
      <c r="B49" s="54"/>
    </row>
  </sheetData>
  <sheetProtection password="DC87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D76"/>
  <sheetViews>
    <sheetView showGridLines="0" showRowColHeaders="0" showZeros="0" tabSelected="1" showOutlineSymbols="0" zoomScale="85" zoomScaleNormal="85" workbookViewId="0" topLeftCell="A1">
      <selection activeCell="C2" sqref="C2"/>
    </sheetView>
  </sheetViews>
  <sheetFormatPr defaultColWidth="11.421875" defaultRowHeight="12.75"/>
  <cols>
    <col min="1" max="1" width="6.28125" style="84" customWidth="1"/>
    <col min="2" max="2" width="28.7109375" style="84" customWidth="1"/>
    <col min="3" max="3" width="12.28125" style="84" customWidth="1"/>
    <col min="4" max="4" width="11.28125" style="84" customWidth="1"/>
    <col min="5" max="5" width="11.8515625" style="84" customWidth="1"/>
    <col min="6" max="6" width="11.7109375" style="84" customWidth="1"/>
    <col min="7" max="8" width="10.7109375" style="84" customWidth="1"/>
    <col min="9" max="9" width="24.7109375" style="0" hidden="1" customWidth="1"/>
    <col min="10" max="10" width="11.421875" style="0" hidden="1" customWidth="1"/>
    <col min="11" max="11" width="10.57421875" style="0" hidden="1" customWidth="1"/>
    <col min="12" max="12" width="9.7109375" style="0" hidden="1" customWidth="1"/>
    <col min="13" max="14" width="10.7109375" style="0" hidden="1" customWidth="1"/>
    <col min="15" max="15" width="9.7109375" style="0" hidden="1" customWidth="1"/>
    <col min="16" max="16" width="10.140625" style="0" hidden="1" customWidth="1"/>
    <col min="17" max="21" width="9.7109375" style="0" hidden="1" customWidth="1"/>
    <col min="22" max="22" width="12.28125" style="0" hidden="1" customWidth="1"/>
    <col min="23" max="24" width="9.7109375" style="0" hidden="1" customWidth="1"/>
    <col min="25" max="16384" width="9.7109375" style="0" customWidth="1"/>
  </cols>
  <sheetData>
    <row r="1" ht="12.75">
      <c r="H1" s="330"/>
    </row>
    <row r="2" spans="2:10" ht="12.75">
      <c r="B2" s="85" t="s">
        <v>191</v>
      </c>
      <c r="C2" s="208"/>
      <c r="D2" s="209"/>
      <c r="E2" s="236" t="s">
        <v>178</v>
      </c>
      <c r="F2" s="209"/>
      <c r="G2" s="210"/>
      <c r="H2" s="310"/>
      <c r="I2" s="45"/>
      <c r="J2" s="45"/>
    </row>
    <row r="3" spans="2:10" ht="12.75">
      <c r="B3" s="86" t="s">
        <v>286</v>
      </c>
      <c r="C3" s="204"/>
      <c r="D3" s="211"/>
      <c r="E3" s="237" t="s">
        <v>182</v>
      </c>
      <c r="F3" s="212"/>
      <c r="G3" s="213"/>
      <c r="H3" s="310"/>
      <c r="I3" s="45"/>
      <c r="J3" s="45"/>
    </row>
    <row r="4" spans="2:10" ht="12.75">
      <c r="B4" s="86" t="s">
        <v>190</v>
      </c>
      <c r="C4" s="211"/>
      <c r="D4" s="212"/>
      <c r="E4" s="237" t="s">
        <v>181</v>
      </c>
      <c r="F4" s="212"/>
      <c r="G4" s="213"/>
      <c r="H4" s="310"/>
      <c r="I4" s="45"/>
      <c r="J4" s="45"/>
    </row>
    <row r="5" spans="2:10" ht="12.75">
      <c r="B5" s="248" t="s">
        <v>222</v>
      </c>
      <c r="C5" s="245"/>
      <c r="D5" s="246"/>
      <c r="E5" s="247" t="s">
        <v>179</v>
      </c>
      <c r="F5" s="246"/>
      <c r="G5" s="213"/>
      <c r="H5" s="310"/>
      <c r="I5" s="45"/>
      <c r="J5" s="45"/>
    </row>
    <row r="6" spans="2:10" ht="12.75">
      <c r="B6" s="249"/>
      <c r="C6" s="250"/>
      <c r="D6" s="250"/>
      <c r="E6" s="250"/>
      <c r="F6" s="250"/>
      <c r="G6" s="251"/>
      <c r="H6" s="311"/>
      <c r="I6" s="45"/>
      <c r="J6" s="45"/>
    </row>
    <row r="7" spans="2:10" ht="12.75">
      <c r="B7" s="310"/>
      <c r="C7" s="310"/>
      <c r="D7" s="310"/>
      <c r="E7" s="310"/>
      <c r="F7" s="310"/>
      <c r="G7" s="311"/>
      <c r="H7" s="311"/>
      <c r="I7" s="45"/>
      <c r="J7" s="45"/>
    </row>
    <row r="8" spans="2:10" ht="12.75">
      <c r="B8" s="310"/>
      <c r="C8" s="310"/>
      <c r="D8" s="310"/>
      <c r="E8" s="310"/>
      <c r="F8" s="310"/>
      <c r="G8" s="311"/>
      <c r="H8" s="311"/>
      <c r="I8" s="45"/>
      <c r="J8" s="45"/>
    </row>
    <row r="9" spans="2:8" ht="12.75">
      <c r="B9" s="88" t="s">
        <v>17</v>
      </c>
      <c r="C9" s="87"/>
      <c r="D9" s="87"/>
      <c r="E9" s="87"/>
      <c r="F9" s="87"/>
      <c r="H9" s="330"/>
    </row>
    <row r="10" spans="2:9" ht="12.75">
      <c r="B10" s="87"/>
      <c r="C10" s="89" t="s">
        <v>18</v>
      </c>
      <c r="D10" s="89" t="s">
        <v>19</v>
      </c>
      <c r="E10" s="89" t="s">
        <v>20</v>
      </c>
      <c r="F10" s="90"/>
      <c r="G10" s="90"/>
      <c r="H10" s="331"/>
      <c r="I10" s="54"/>
    </row>
    <row r="11" spans="2:18" ht="12.75">
      <c r="B11" s="91" t="s">
        <v>21</v>
      </c>
      <c r="C11" s="214">
        <v>1</v>
      </c>
      <c r="D11" s="214">
        <v>1</v>
      </c>
      <c r="E11" s="215">
        <v>2003</v>
      </c>
      <c r="F11" s="90"/>
      <c r="G11" s="90"/>
      <c r="H11" s="331"/>
      <c r="I11" s="106">
        <f>IF(E11&gt;1900,E11-1900,E11)</f>
        <v>103</v>
      </c>
      <c r="J11" s="107">
        <f>DATE(I11,D11,C11)</f>
        <v>37622</v>
      </c>
      <c r="O11" s="199">
        <f>O20+O21</f>
        <v>0</v>
      </c>
      <c r="P11" s="199">
        <f>P20+P21</f>
        <v>0</v>
      </c>
      <c r="Q11" s="199">
        <f>Q20+Q21</f>
        <v>0</v>
      </c>
      <c r="R11" s="199">
        <f>R20+R21</f>
        <v>0</v>
      </c>
    </row>
    <row r="12" spans="2:10" ht="12.75">
      <c r="B12" s="91" t="s">
        <v>22</v>
      </c>
      <c r="C12" s="214">
        <v>31</v>
      </c>
      <c r="D12" s="214">
        <v>12</v>
      </c>
      <c r="E12" s="215">
        <v>2003</v>
      </c>
      <c r="F12" s="90"/>
      <c r="G12" s="90"/>
      <c r="H12" s="331"/>
      <c r="I12" s="106">
        <f>IF(E12&gt;1900,E12-1900,E12)</f>
        <v>103</v>
      </c>
      <c r="J12" s="107">
        <f>DATE(I12,D12,C12)</f>
        <v>37986</v>
      </c>
    </row>
    <row r="13" spans="2:10" ht="12.75">
      <c r="B13" s="91" t="s">
        <v>23</v>
      </c>
      <c r="C13" s="92">
        <f>J12-J11+1</f>
        <v>365</v>
      </c>
      <c r="D13" s="93"/>
      <c r="E13" s="93"/>
      <c r="F13" s="87"/>
      <c r="H13" s="330"/>
      <c r="I13" s="108"/>
      <c r="J13" s="108"/>
    </row>
    <row r="14" spans="2:10" ht="12.75">
      <c r="B14" s="87"/>
      <c r="C14" s="94"/>
      <c r="D14" s="94"/>
      <c r="E14" s="87"/>
      <c r="F14" s="87"/>
      <c r="H14" s="330"/>
      <c r="I14" s="108"/>
      <c r="J14" s="108"/>
    </row>
    <row r="15" spans="2:21" ht="18">
      <c r="B15" s="87"/>
      <c r="C15" s="87"/>
      <c r="D15" s="87"/>
      <c r="E15" s="87"/>
      <c r="F15" s="87"/>
      <c r="H15" s="330"/>
      <c r="I15" s="46" t="s">
        <v>24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2:21" ht="12.75">
      <c r="B16" s="88" t="s">
        <v>25</v>
      </c>
      <c r="C16" s="95" t="s">
        <v>26</v>
      </c>
      <c r="D16" s="95" t="s">
        <v>26</v>
      </c>
      <c r="E16" s="95" t="s">
        <v>27</v>
      </c>
      <c r="F16" s="95" t="s">
        <v>27</v>
      </c>
      <c r="G16" s="95" t="s">
        <v>153</v>
      </c>
      <c r="H16" s="331"/>
      <c r="I16" s="47"/>
      <c r="J16" s="47"/>
      <c r="K16" s="47"/>
      <c r="L16" s="47"/>
      <c r="M16" s="47"/>
      <c r="N16" s="47"/>
      <c r="O16" s="47"/>
      <c r="P16" s="47"/>
      <c r="Q16" s="47"/>
      <c r="R16" s="33"/>
      <c r="S16" s="47"/>
      <c r="T16" s="34"/>
      <c r="U16" s="47"/>
    </row>
    <row r="17" spans="2:21" ht="12.75">
      <c r="B17" s="87"/>
      <c r="C17" s="96" t="s">
        <v>28</v>
      </c>
      <c r="D17" s="96" t="s">
        <v>29</v>
      </c>
      <c r="E17" s="96" t="s">
        <v>30</v>
      </c>
      <c r="F17" s="96" t="s">
        <v>31</v>
      </c>
      <c r="G17" s="96" t="s">
        <v>152</v>
      </c>
      <c r="H17" s="331"/>
      <c r="I17" s="47"/>
      <c r="J17" s="35" t="s">
        <v>32</v>
      </c>
      <c r="K17" s="35" t="s">
        <v>33</v>
      </c>
      <c r="L17" s="35" t="s">
        <v>34</v>
      </c>
      <c r="M17" s="35" t="s">
        <v>35</v>
      </c>
      <c r="N17" s="35" t="s">
        <v>36</v>
      </c>
      <c r="O17" s="35" t="s">
        <v>37</v>
      </c>
      <c r="P17" s="35" t="s">
        <v>38</v>
      </c>
      <c r="Q17" s="35" t="s">
        <v>39</v>
      </c>
      <c r="R17" s="35" t="s">
        <v>40</v>
      </c>
      <c r="S17" s="35" t="s">
        <v>41</v>
      </c>
      <c r="T17" s="35" t="s">
        <v>42</v>
      </c>
      <c r="U17" s="34"/>
    </row>
    <row r="18" spans="2:29" ht="12.75">
      <c r="B18" s="97" t="s">
        <v>43</v>
      </c>
      <c r="C18" s="404"/>
      <c r="D18" s="404"/>
      <c r="E18" s="98"/>
      <c r="F18" s="98"/>
      <c r="G18" s="367"/>
      <c r="H18" s="376"/>
      <c r="I18" s="371" t="s">
        <v>44</v>
      </c>
      <c r="J18" s="254">
        <f>IF(C18&gt;0,(G27*25*Bilan!C14+E26/Bilan!C12*25*F26)/C13,0)</f>
        <v>0</v>
      </c>
      <c r="K18" s="37">
        <f>(J18*(C18+D18)/2*C13/1000)+K30-N28</f>
        <v>0</v>
      </c>
      <c r="L18" s="198">
        <f>IF(C18&gt;0,(G27*5.3*Bilan!C14+E26/Bilan!C12*5.3*F26)/C13,0)</f>
        <v>0</v>
      </c>
      <c r="M18" s="37">
        <f>(L18*(C18+D18)/2/1000*C13)+L30-O28</f>
        <v>0</v>
      </c>
      <c r="N18" s="38"/>
      <c r="O18" s="37"/>
      <c r="P18" s="37"/>
      <c r="Q18" s="39"/>
      <c r="R18" s="39"/>
      <c r="S18" s="39"/>
      <c r="T18" s="39"/>
      <c r="U18" s="34"/>
      <c r="Y18" s="44"/>
      <c r="Z18" s="44"/>
      <c r="AA18" s="44"/>
      <c r="AB18" s="44"/>
      <c r="AC18" s="44"/>
    </row>
    <row r="19" spans="2:29" ht="12.75">
      <c r="B19" s="99" t="s">
        <v>45</v>
      </c>
      <c r="C19" s="405"/>
      <c r="D19" s="405"/>
      <c r="E19" s="100"/>
      <c r="F19" s="100"/>
      <c r="G19" s="367"/>
      <c r="H19" s="376"/>
      <c r="I19" s="372" t="s">
        <v>45</v>
      </c>
      <c r="J19" s="36">
        <v>2.4</v>
      </c>
      <c r="K19" s="37">
        <f>J19*(C19+D19)/2*C13/1000</f>
        <v>0</v>
      </c>
      <c r="L19" s="38">
        <v>0.51</v>
      </c>
      <c r="M19" s="37">
        <f>L19*(C19+D19)/2/1000*C13</f>
        <v>0</v>
      </c>
      <c r="N19" s="38"/>
      <c r="O19" s="38"/>
      <c r="P19" s="38"/>
      <c r="Q19" s="38"/>
      <c r="R19" s="38"/>
      <c r="S19" s="38"/>
      <c r="T19" s="38"/>
      <c r="U19" s="34"/>
      <c r="W19" s="44"/>
      <c r="X19" s="44"/>
      <c r="Y19" s="44"/>
      <c r="Z19" s="44"/>
      <c r="AA19" s="44"/>
      <c r="AB19" s="44"/>
      <c r="AC19" s="44"/>
    </row>
    <row r="20" spans="2:29" ht="12.75">
      <c r="B20" s="101" t="s">
        <v>46</v>
      </c>
      <c r="C20" s="405"/>
      <c r="D20" s="405"/>
      <c r="E20" s="400">
        <v>14</v>
      </c>
      <c r="F20" s="400">
        <v>14</v>
      </c>
      <c r="G20" s="401">
        <v>21.3</v>
      </c>
      <c r="H20" s="337"/>
      <c r="I20" s="195" t="s">
        <v>47</v>
      </c>
      <c r="J20" s="37"/>
      <c r="K20" s="37"/>
      <c r="L20" s="38"/>
      <c r="M20" s="38"/>
      <c r="N20" s="40">
        <f>IF(P26&lt;&gt;0,P26,55)</f>
        <v>55</v>
      </c>
      <c r="O20" s="201">
        <f>(E20*C20*25)/1000</f>
        <v>0</v>
      </c>
      <c r="P20" s="202">
        <f>(F20*D20*25)/1000</f>
        <v>0</v>
      </c>
      <c r="Q20" s="202">
        <f>E20*C20*0.0053</f>
        <v>0</v>
      </c>
      <c r="R20" s="203">
        <f>(F20*D20*0.0053)</f>
        <v>0</v>
      </c>
      <c r="S20" s="41">
        <f>C20*E20</f>
        <v>0</v>
      </c>
      <c r="T20" s="41">
        <f>D20*F20</f>
        <v>0</v>
      </c>
      <c r="U20" s="47"/>
      <c r="W20" s="44"/>
      <c r="X20" s="44"/>
      <c r="Y20" s="44"/>
      <c r="Z20" s="44"/>
      <c r="AA20" s="44"/>
      <c r="AB20" s="44"/>
      <c r="AC20" s="44"/>
    </row>
    <row r="21" spans="2:29" ht="12.75">
      <c r="B21" s="102" t="s">
        <v>48</v>
      </c>
      <c r="C21" s="406"/>
      <c r="D21" s="406"/>
      <c r="E21" s="402">
        <v>63</v>
      </c>
      <c r="F21" s="402">
        <v>63</v>
      </c>
      <c r="G21" s="293">
        <v>108</v>
      </c>
      <c r="H21" s="337"/>
      <c r="I21" s="373" t="s">
        <v>49</v>
      </c>
      <c r="J21" s="42"/>
      <c r="K21" s="42"/>
      <c r="L21" s="42"/>
      <c r="M21" s="42"/>
      <c r="N21" s="43">
        <f>IF(P26&lt;&gt;0,P26,55)</f>
        <v>55</v>
      </c>
      <c r="O21" s="201">
        <f>(E21*C21*25)/1000</f>
        <v>0</v>
      </c>
      <c r="P21" s="202">
        <f>(F21*D21*25)/1000</f>
        <v>0</v>
      </c>
      <c r="Q21" s="202">
        <f>E21*C21*0.0053</f>
        <v>0</v>
      </c>
      <c r="R21" s="203">
        <f>(F21*D21*0.0053)</f>
        <v>0</v>
      </c>
      <c r="S21" s="22">
        <f>C21*E21</f>
        <v>0</v>
      </c>
      <c r="T21" s="22">
        <f>D21*F21</f>
        <v>0</v>
      </c>
      <c r="U21" s="47"/>
      <c r="W21" s="44"/>
      <c r="X21" s="44"/>
      <c r="Y21" s="44"/>
      <c r="Z21" s="44"/>
      <c r="AA21" s="44"/>
      <c r="AB21" s="44"/>
      <c r="AC21" s="44"/>
    </row>
    <row r="22" spans="2:29" ht="12.75">
      <c r="B22" s="87"/>
      <c r="C22" s="87"/>
      <c r="D22" s="87"/>
      <c r="E22" s="87"/>
      <c r="F22" s="87"/>
      <c r="H22" s="375"/>
      <c r="I22" s="374" t="s">
        <v>50</v>
      </c>
      <c r="J22" s="23"/>
      <c r="K22" s="23">
        <f>SUM(K18:K21)</f>
        <v>0</v>
      </c>
      <c r="L22" s="23"/>
      <c r="M22" s="23">
        <f>SUM(M18:M21)</f>
        <v>0</v>
      </c>
      <c r="N22" s="23"/>
      <c r="O22" s="200">
        <f aca="true" t="shared" si="0" ref="O22:T22">O20+O21</f>
        <v>0</v>
      </c>
      <c r="P22" s="200">
        <f t="shared" si="0"/>
        <v>0</v>
      </c>
      <c r="Q22" s="200">
        <f t="shared" si="0"/>
        <v>0</v>
      </c>
      <c r="R22" s="200">
        <f t="shared" si="0"/>
        <v>0</v>
      </c>
      <c r="S22" s="24">
        <f t="shared" si="0"/>
        <v>0</v>
      </c>
      <c r="T22" s="24">
        <f t="shared" si="0"/>
        <v>0</v>
      </c>
      <c r="U22" s="47"/>
      <c r="V22" s="44"/>
      <c r="W22" s="44"/>
      <c r="X22" s="44"/>
      <c r="Y22" s="44"/>
      <c r="Z22" s="44"/>
      <c r="AA22" s="44"/>
      <c r="AB22" s="44"/>
      <c r="AC22" s="44"/>
    </row>
    <row r="23" spans="2:29" ht="12.75">
      <c r="B23" s="87"/>
      <c r="C23" s="87"/>
      <c r="D23" s="87"/>
      <c r="E23" s="87"/>
      <c r="F23" s="87"/>
      <c r="H23" s="375"/>
      <c r="I23" s="47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7"/>
      <c r="V23" s="44"/>
      <c r="W23" s="44"/>
      <c r="X23" s="44"/>
      <c r="Y23" s="44"/>
      <c r="Z23" s="44"/>
      <c r="AA23" s="44"/>
      <c r="AB23" s="44"/>
      <c r="AC23" s="44"/>
    </row>
    <row r="24" spans="2:27" ht="12.75">
      <c r="B24" s="88" t="s">
        <v>51</v>
      </c>
      <c r="C24" s="95" t="s">
        <v>52</v>
      </c>
      <c r="D24" s="95" t="s">
        <v>53</v>
      </c>
      <c r="E24" s="243" t="s">
        <v>188</v>
      </c>
      <c r="F24" s="196" t="s">
        <v>153</v>
      </c>
      <c r="G24" s="368" t="s">
        <v>147</v>
      </c>
      <c r="H24" s="377"/>
      <c r="I24" s="47"/>
      <c r="J24" s="47"/>
      <c r="K24" s="47"/>
      <c r="L24" s="47"/>
      <c r="M24" s="33"/>
      <c r="N24" s="33"/>
      <c r="O24" s="33"/>
      <c r="P24" s="33"/>
      <c r="Q24" s="33"/>
      <c r="R24" s="33"/>
      <c r="S24" s="33" t="s">
        <v>310</v>
      </c>
      <c r="T24" s="33" t="s">
        <v>310</v>
      </c>
      <c r="U24" s="33" t="s">
        <v>311</v>
      </c>
      <c r="V24" s="233"/>
      <c r="W24" s="44"/>
      <c r="X24" s="44"/>
      <c r="Y24" s="44"/>
      <c r="Z24" s="44"/>
      <c r="AA24" s="44"/>
    </row>
    <row r="25" spans="2:30" ht="12.75">
      <c r="B25" s="87"/>
      <c r="C25" s="96"/>
      <c r="D25" s="96" t="s">
        <v>54</v>
      </c>
      <c r="E25" s="244" t="s">
        <v>189</v>
      </c>
      <c r="F25" s="197" t="s">
        <v>54</v>
      </c>
      <c r="G25" s="369" t="s">
        <v>167</v>
      </c>
      <c r="H25" s="377"/>
      <c r="I25" s="47"/>
      <c r="J25" s="25" t="s">
        <v>55</v>
      </c>
      <c r="K25" s="25" t="s">
        <v>56</v>
      </c>
      <c r="L25" s="25" t="s">
        <v>57</v>
      </c>
      <c r="M25" s="25" t="s">
        <v>58</v>
      </c>
      <c r="N25" s="25" t="s">
        <v>59</v>
      </c>
      <c r="O25" s="25" t="s">
        <v>60</v>
      </c>
      <c r="P25" s="25" t="s">
        <v>61</v>
      </c>
      <c r="Q25" s="25" t="s">
        <v>169</v>
      </c>
      <c r="R25" s="25" t="s">
        <v>62</v>
      </c>
      <c r="S25" s="33"/>
      <c r="T25" s="33"/>
      <c r="U25" s="33"/>
      <c r="V25" s="234"/>
      <c r="W25" s="44"/>
      <c r="X25" s="44"/>
      <c r="Y25" s="44"/>
      <c r="Z25" s="44"/>
      <c r="AA25" s="44"/>
      <c r="AB25" s="44"/>
      <c r="AC25" s="44"/>
      <c r="AD25" s="44"/>
    </row>
    <row r="26" spans="2:30" ht="12.75">
      <c r="B26" s="91" t="s">
        <v>63</v>
      </c>
      <c r="C26" s="252"/>
      <c r="D26" s="365">
        <v>6</v>
      </c>
      <c r="E26" s="252"/>
      <c r="F26" s="403">
        <v>1.8</v>
      </c>
      <c r="G26" s="369" t="s">
        <v>168</v>
      </c>
      <c r="H26" s="377"/>
      <c r="I26" s="194" t="s">
        <v>63</v>
      </c>
      <c r="J26" s="26">
        <f>D26*C26+E26*F26</f>
        <v>0</v>
      </c>
      <c r="K26" s="193">
        <f>((D26-J41)*C26*25)/1000</f>
        <v>0</v>
      </c>
      <c r="L26" s="37">
        <f>((D26-J41)*0.0053)*C26</f>
        <v>0</v>
      </c>
      <c r="M26" s="37">
        <f>C35*D35</f>
        <v>0</v>
      </c>
      <c r="N26" s="27">
        <f>M26*0.025</f>
        <v>0</v>
      </c>
      <c r="O26" s="37">
        <f>M26*0.0053</f>
        <v>0</v>
      </c>
      <c r="P26" s="26">
        <f>IF(E26&lt;&gt;0,E26-3,P29)</f>
        <v>55</v>
      </c>
      <c r="Q26" s="26"/>
      <c r="R26" s="26"/>
      <c r="S26" s="33"/>
      <c r="T26" s="33"/>
      <c r="U26" s="33"/>
      <c r="V26" s="234"/>
      <c r="W26" s="44"/>
      <c r="X26" s="44"/>
      <c r="Y26" s="44"/>
      <c r="Z26" s="44"/>
      <c r="AA26" s="44"/>
      <c r="AB26" s="44"/>
      <c r="AC26" s="44"/>
      <c r="AD26" s="44"/>
    </row>
    <row r="27" spans="2:30" ht="12.75">
      <c r="B27" s="91" t="s">
        <v>192</v>
      </c>
      <c r="C27" s="252"/>
      <c r="D27" s="365">
        <v>21.3</v>
      </c>
      <c r="E27" s="252"/>
      <c r="F27" s="407">
        <v>7.4</v>
      </c>
      <c r="G27" s="396">
        <v>5.7</v>
      </c>
      <c r="H27" s="378"/>
      <c r="I27" s="195" t="s">
        <v>64</v>
      </c>
      <c r="J27" s="37">
        <f>D27*C27+E27*F27</f>
        <v>0</v>
      </c>
      <c r="K27" s="255">
        <f>IF(C$18&gt;0,J27*25/1000-G$27*(C27+E27)*0.025,J27*25/1000)</f>
        <v>0</v>
      </c>
      <c r="L27" s="193">
        <f>IF(C$18&gt;0,J27*5.3/1000-G$27*(C27+E27)*0.0053,J27*5.3/1000)</f>
        <v>0</v>
      </c>
      <c r="M27" s="37">
        <f>C36*D36</f>
        <v>0</v>
      </c>
      <c r="N27" s="27">
        <f>M27*0.025</f>
        <v>0</v>
      </c>
      <c r="O27" s="37">
        <f>M27*0.0053</f>
        <v>0</v>
      </c>
      <c r="P27" s="37">
        <f>IF(E27&lt;&gt;0,E27-3,P29)</f>
        <v>55</v>
      </c>
      <c r="Q27" s="37">
        <f>C27*0.7</f>
        <v>0</v>
      </c>
      <c r="R27" s="37">
        <f>D27*0.6</f>
        <v>12.78</v>
      </c>
      <c r="S27" s="33">
        <f>P36</f>
        <v>1</v>
      </c>
      <c r="T27" s="33"/>
      <c r="U27" s="397">
        <f>(T20-S20)/S27</f>
        <v>0</v>
      </c>
      <c r="V27" s="235"/>
      <c r="W27" s="44"/>
      <c r="X27" s="44"/>
      <c r="Y27" s="44"/>
      <c r="Z27" s="44"/>
      <c r="AA27" s="44"/>
      <c r="AB27" s="44"/>
      <c r="AC27" s="44"/>
      <c r="AD27" s="44"/>
    </row>
    <row r="28" spans="2:30" ht="12.75">
      <c r="B28" s="91" t="s">
        <v>298</v>
      </c>
      <c r="C28" s="252"/>
      <c r="D28" s="365">
        <v>130</v>
      </c>
      <c r="E28" s="252"/>
      <c r="F28" s="407">
        <v>65</v>
      </c>
      <c r="H28" s="375"/>
      <c r="I28" s="195" t="s">
        <v>65</v>
      </c>
      <c r="J28" s="37">
        <f>D28*C28+E28*F28</f>
        <v>0</v>
      </c>
      <c r="K28" s="255">
        <f>IF(C$18&gt;0,J28*25/1000-G$27*(C28+E28)*0.025,J28*25/1000)</f>
        <v>0</v>
      </c>
      <c r="L28" s="193">
        <f>IF(C$18&gt;0,J28*5.3/1000-G$27*(C28+E28)*0.0053,J28*5.3/1000)</f>
        <v>0</v>
      </c>
      <c r="M28" s="389">
        <f>C37*D37</f>
        <v>0</v>
      </c>
      <c r="N28" s="36">
        <f>M28*0.025</f>
        <v>0</v>
      </c>
      <c r="O28" s="36">
        <f>M28*0.0053</f>
        <v>0</v>
      </c>
      <c r="P28" s="37">
        <f>IF(E28&lt;&gt;0,E28-3,P29)</f>
        <v>55</v>
      </c>
      <c r="Q28" s="37">
        <f>C28*(3.5+0.7)</f>
        <v>0</v>
      </c>
      <c r="R28" s="37">
        <f>C28*(3+0.6)</f>
        <v>0</v>
      </c>
      <c r="S28" s="33"/>
      <c r="T28" s="33"/>
      <c r="U28" s="33"/>
      <c r="V28" s="235"/>
      <c r="W28" s="44"/>
      <c r="X28" s="44"/>
      <c r="Y28" s="44"/>
      <c r="Z28" s="44"/>
      <c r="AA28" s="44"/>
      <c r="AB28" s="44"/>
      <c r="AC28" s="44"/>
      <c r="AD28" s="44"/>
    </row>
    <row r="29" spans="2:30" ht="12.75">
      <c r="B29" s="91" t="s">
        <v>187</v>
      </c>
      <c r="C29" s="252"/>
      <c r="D29" s="365">
        <v>108</v>
      </c>
      <c r="E29" s="252"/>
      <c r="F29" s="407">
        <v>62.3</v>
      </c>
      <c r="H29" s="375"/>
      <c r="I29" s="195" t="s">
        <v>67</v>
      </c>
      <c r="J29" s="37">
        <f>D29*C29+E29*F29</f>
        <v>0</v>
      </c>
      <c r="K29" s="255">
        <f>IF(C$18&gt;0,J29*25/1000-G$27*(C29+E29)*0.025,J29*25/1000)</f>
        <v>0</v>
      </c>
      <c r="L29" s="193">
        <f>IF(C$18&gt;0,J29*5.3/1000-G$27*(C29+E29)*0.0053,J29*5.3/1000)</f>
        <v>0</v>
      </c>
      <c r="M29" s="36" t="s">
        <v>66</v>
      </c>
      <c r="N29" s="36" t="s">
        <v>66</v>
      </c>
      <c r="O29" s="36" t="s">
        <v>66</v>
      </c>
      <c r="P29" s="37">
        <f>IF(E29&lt;&gt;0,E29-3,55)</f>
        <v>55</v>
      </c>
      <c r="Q29" s="37">
        <f>C29*(3.5+0.7)</f>
        <v>0</v>
      </c>
      <c r="R29" s="37">
        <f>C29*(3+0.6)</f>
        <v>0</v>
      </c>
      <c r="S29" s="33">
        <f>O36</f>
        <v>1</v>
      </c>
      <c r="T29" s="33"/>
      <c r="U29" s="397">
        <f>(T21-S21)/S29</f>
        <v>0</v>
      </c>
      <c r="V29" s="235"/>
      <c r="W29" s="44"/>
      <c r="X29" s="44"/>
      <c r="Y29" s="44"/>
      <c r="Z29" s="44"/>
      <c r="AA29" s="44"/>
      <c r="AB29" s="44"/>
      <c r="AC29" s="44"/>
      <c r="AD29" s="44"/>
    </row>
    <row r="30" spans="2:30" ht="12.75">
      <c r="B30" s="383" t="s">
        <v>297</v>
      </c>
      <c r="C30" s="253"/>
      <c r="D30" s="387">
        <v>275</v>
      </c>
      <c r="E30" s="253"/>
      <c r="F30" s="408"/>
      <c r="G30" s="316"/>
      <c r="H30" s="332"/>
      <c r="I30" s="386" t="s">
        <v>297</v>
      </c>
      <c r="J30" s="385">
        <f>C30*D30+E30*F30</f>
        <v>0</v>
      </c>
      <c r="K30" s="255">
        <f>J30*0.025</f>
        <v>0</v>
      </c>
      <c r="L30" s="193">
        <f>J30*0.0053</f>
        <v>0</v>
      </c>
      <c r="M30" s="36"/>
      <c r="N30" s="36"/>
      <c r="O30" s="36"/>
      <c r="P30" s="37"/>
      <c r="Q30" s="37"/>
      <c r="R30" s="37"/>
      <c r="S30" s="33"/>
      <c r="T30" s="33"/>
      <c r="U30" s="33"/>
      <c r="V30" s="235"/>
      <c r="W30" s="44"/>
      <c r="X30" s="44"/>
      <c r="Y30" s="44"/>
      <c r="Z30" s="44"/>
      <c r="AA30" s="44"/>
      <c r="AB30" s="44"/>
      <c r="AC30" s="44"/>
      <c r="AD30" s="44"/>
    </row>
    <row r="31" spans="2:30" ht="12.75">
      <c r="B31" s="312"/>
      <c r="C31" s="313"/>
      <c r="D31" s="314"/>
      <c r="E31" s="315"/>
      <c r="F31" s="315"/>
      <c r="G31" s="370" t="s">
        <v>180</v>
      </c>
      <c r="H31" s="379"/>
      <c r="I31" s="195"/>
      <c r="J31" s="37"/>
      <c r="K31" s="255"/>
      <c r="L31" s="193"/>
      <c r="M31" s="36"/>
      <c r="N31" s="36"/>
      <c r="O31" s="36"/>
      <c r="P31" s="37"/>
      <c r="Q31" s="37"/>
      <c r="R31" s="37"/>
      <c r="S31" s="33"/>
      <c r="T31" s="33"/>
      <c r="U31" s="33"/>
      <c r="V31" s="235"/>
      <c r="W31" s="44"/>
      <c r="X31" s="44"/>
      <c r="Y31" s="44"/>
      <c r="Z31" s="44"/>
      <c r="AA31" s="44"/>
      <c r="AB31" s="44"/>
      <c r="AC31" s="44"/>
      <c r="AD31" s="44"/>
    </row>
    <row r="32" spans="2:30" ht="12.75">
      <c r="B32" s="87"/>
      <c r="C32" s="87"/>
      <c r="D32" s="87"/>
      <c r="E32" s="87"/>
      <c r="F32" s="103"/>
      <c r="G32" s="175" t="s">
        <v>183</v>
      </c>
      <c r="H32" s="380"/>
      <c r="I32" s="374" t="s">
        <v>50</v>
      </c>
      <c r="J32" s="23">
        <f>SUM(J26:J29)</f>
        <v>0</v>
      </c>
      <c r="K32" s="23">
        <f>SUM(K26:K29)</f>
        <v>0</v>
      </c>
      <c r="L32" s="23">
        <f>SUM(L26:L29)</f>
        <v>0</v>
      </c>
      <c r="M32" s="23">
        <f>SUM(M26:M27)</f>
        <v>0</v>
      </c>
      <c r="N32" s="23">
        <f>SUM(N26:N27)</f>
        <v>0</v>
      </c>
      <c r="O32" s="23">
        <f>SUM(O26:O27)</f>
        <v>0</v>
      </c>
      <c r="P32" s="23"/>
      <c r="Q32" s="23">
        <f>SUM(Q26:Q29)</f>
        <v>0</v>
      </c>
      <c r="R32" s="23">
        <f>SUM(R26:R29)</f>
        <v>12.78</v>
      </c>
      <c r="S32" s="33"/>
      <c r="T32" s="33"/>
      <c r="U32" s="33"/>
      <c r="V32" s="44"/>
      <c r="W32" s="44"/>
      <c r="X32" s="44"/>
      <c r="Y32" s="44"/>
      <c r="Z32" s="44"/>
      <c r="AA32" s="44"/>
      <c r="AB32" s="44"/>
      <c r="AC32" s="44"/>
      <c r="AD32" s="44"/>
    </row>
    <row r="33" spans="2:27" ht="12.75">
      <c r="B33" s="88" t="s">
        <v>68</v>
      </c>
      <c r="C33" s="95" t="s">
        <v>52</v>
      </c>
      <c r="D33" s="95" t="s">
        <v>53</v>
      </c>
      <c r="E33" s="104"/>
      <c r="F33" s="87"/>
      <c r="G33" s="232" t="s">
        <v>184</v>
      </c>
      <c r="H33" s="333"/>
      <c r="I33" s="195" t="s">
        <v>289</v>
      </c>
      <c r="J33" s="270" t="e">
        <f>(J28+J29-E28*F28-E29*F29)/(C28+C29)</f>
        <v>#DIV/0!</v>
      </c>
      <c r="M33" s="44"/>
      <c r="N33" s="44"/>
      <c r="O33" s="44" t="s">
        <v>308</v>
      </c>
      <c r="P33" s="44" t="s">
        <v>309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ht="12.75">
      <c r="B34" s="87"/>
      <c r="C34" s="96"/>
      <c r="D34" s="96" t="s">
        <v>54</v>
      </c>
      <c r="E34" s="104"/>
      <c r="F34" s="87" t="s">
        <v>44</v>
      </c>
      <c r="G34" s="239">
        <v>16.7</v>
      </c>
      <c r="H34" s="334"/>
      <c r="I34" t="s">
        <v>288</v>
      </c>
      <c r="K34" s="44">
        <f>(E29*F29+E28*F28+E27*F27+E26*F26)</f>
        <v>0</v>
      </c>
      <c r="M34" s="44"/>
      <c r="N34" s="44"/>
      <c r="O34" s="44">
        <f>C29*D29+C28*D28</f>
        <v>0</v>
      </c>
      <c r="P34" s="44">
        <f>IF(C27&gt;0,C27*D27,G20*(C29+E29+C28+E28))</f>
        <v>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ht="12.75">
      <c r="B35" s="91" t="s">
        <v>63</v>
      </c>
      <c r="C35" s="252"/>
      <c r="D35" s="366">
        <v>5.7</v>
      </c>
      <c r="E35" s="105"/>
      <c r="F35" s="87" t="s">
        <v>147</v>
      </c>
      <c r="G35" s="240">
        <v>1.56</v>
      </c>
      <c r="H35" s="335"/>
      <c r="I35" s="381" t="s">
        <v>291</v>
      </c>
      <c r="K35" s="44" t="e">
        <f>(E29*F29+E28*F28-(E29+E28)*J43)/C29</f>
        <v>#DIV/0!</v>
      </c>
      <c r="L35" s="44" t="e">
        <f>(E27*(F27-K44)/(C27+C28+C29-C36))</f>
        <v>#DIV/0!</v>
      </c>
      <c r="M35" s="44"/>
      <c r="N35" s="44"/>
      <c r="O35" s="44">
        <f>IF(C36&gt;0,C36*D36,G20*(C29+E29+C28+E28))</f>
        <v>0</v>
      </c>
      <c r="P35" s="44">
        <f>C35*D35+G27*(C27+E27+C28+E28+C29+E29)</f>
        <v>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8" ht="12.75">
      <c r="B36" s="91" t="s">
        <v>192</v>
      </c>
      <c r="C36" s="252"/>
      <c r="D36" s="366">
        <v>25.1</v>
      </c>
      <c r="E36" s="105"/>
      <c r="F36" s="87" t="s">
        <v>150</v>
      </c>
      <c r="G36" s="240">
        <v>5.46</v>
      </c>
      <c r="H36" s="335"/>
      <c r="I36" s="185" t="s">
        <v>118</v>
      </c>
      <c r="J36" s="186" t="s">
        <v>162</v>
      </c>
      <c r="K36" s="187" t="s">
        <v>158</v>
      </c>
      <c r="L36" s="187" t="s">
        <v>113</v>
      </c>
      <c r="M36" s="187" t="s">
        <v>114</v>
      </c>
      <c r="N36" s="187" t="s">
        <v>160</v>
      </c>
      <c r="O36" s="44">
        <f>IF(C29&gt;0,(O34-O35)/(C29+C28),IF(C28&gt;0,(O34-O35)/(C29+C28),1))</f>
        <v>1</v>
      </c>
      <c r="P36" s="44">
        <f>IF(C27&gt;0,(P34-P35)/C27,IF(C29&gt;0,(P34-P35)/(C29+E29+C28+E28),1))</f>
        <v>1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2:28" ht="12.75">
      <c r="B37" s="384" t="s">
        <v>296</v>
      </c>
      <c r="C37" s="252"/>
      <c r="D37" s="388">
        <v>120</v>
      </c>
      <c r="E37" s="105"/>
      <c r="F37" s="87" t="s">
        <v>268</v>
      </c>
      <c r="G37" s="322">
        <v>6.69</v>
      </c>
      <c r="H37" s="335"/>
      <c r="I37" s="185"/>
      <c r="J37" s="186"/>
      <c r="K37" s="187"/>
      <c r="L37" s="187"/>
      <c r="M37" s="187"/>
      <c r="N37" s="187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2:28" ht="11.25" customHeight="1">
      <c r="B38" s="87"/>
      <c r="C38" s="87"/>
      <c r="D38" s="87"/>
      <c r="E38" s="87"/>
      <c r="H38" s="336"/>
      <c r="I38" s="185" t="s">
        <v>163</v>
      </c>
      <c r="J38" s="186">
        <f>COUNTIF(E48:E52,"&gt;0")</f>
        <v>3</v>
      </c>
      <c r="K38" s="187">
        <f>IF($J38&gt;0,SUM(E48:E52)/$J38,0)</f>
        <v>3.3333333333333335</v>
      </c>
      <c r="L38" s="187">
        <f>IF($J38&gt;0,SUM(F48:F52)/$J38,0)</f>
        <v>3.4066666666666663</v>
      </c>
      <c r="M38" s="187">
        <f>IF($J38&gt;0,SUM(G48:G52)/$J38,0)</f>
        <v>2.1633333333333336</v>
      </c>
      <c r="N38" s="187">
        <f>IF($J38&gt;0,SUM(H48:H52)/$J38,0)</f>
        <v>2.3266666666666667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2:27" ht="9.75" customHeight="1">
      <c r="B39" s="226"/>
      <c r="C39" s="87"/>
      <c r="D39" s="87"/>
      <c r="E39" s="87"/>
      <c r="F39" s="87"/>
      <c r="J39" s="44"/>
      <c r="K39" s="182"/>
      <c r="L39" s="182"/>
      <c r="M39" s="182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ht="9.75" customHeight="1">
      <c r="B40" s="226"/>
      <c r="C40" s="87"/>
      <c r="D40" s="87"/>
      <c r="E40" s="87"/>
      <c r="F40" s="87"/>
      <c r="I40" s="192"/>
      <c r="J40" s="192" t="s">
        <v>165</v>
      </c>
      <c r="K40" s="193" t="s">
        <v>166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9:27" ht="9.75" customHeight="1">
      <c r="I41" s="192" t="s">
        <v>164</v>
      </c>
      <c r="J41" s="193">
        <f>IF(G27&gt;0,G27,IF(D35&gt;0,D35,D36))</f>
        <v>5.7</v>
      </c>
      <c r="K41" s="193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1:27" ht="9.75" customHeight="1">
      <c r="U42" s="44"/>
      <c r="V42" s="44"/>
      <c r="W42" s="44"/>
      <c r="X42" s="44"/>
      <c r="Y42" s="44"/>
      <c r="Z42" s="44"/>
      <c r="AA42" s="44"/>
    </row>
    <row r="43" spans="9:10" ht="9.75" customHeight="1">
      <c r="I43" t="s">
        <v>294</v>
      </c>
      <c r="J43" s="199">
        <f>IF(C18&gt;0,G20,IF(C27&gt;0,D27,G20))</f>
        <v>21.3</v>
      </c>
    </row>
    <row r="44" spans="2:11" ht="15.75">
      <c r="B44" s="88" t="s">
        <v>154</v>
      </c>
      <c r="C44" s="172" t="s">
        <v>156</v>
      </c>
      <c r="D44" s="172" t="s">
        <v>275</v>
      </c>
      <c r="E44" s="95" t="s">
        <v>158</v>
      </c>
      <c r="F44" s="173" t="s">
        <v>159</v>
      </c>
      <c r="G44" s="173" t="s">
        <v>277</v>
      </c>
      <c r="H44" s="174" t="s">
        <v>278</v>
      </c>
      <c r="I44" s="90" t="s">
        <v>295</v>
      </c>
      <c r="J44">
        <f>IF(C36&gt;0,D36,G20)</f>
        <v>21.3</v>
      </c>
      <c r="K44" s="199">
        <f>IF(C18&gt;0,G27,IF(C35&gt;0,D35,0))</f>
        <v>0</v>
      </c>
    </row>
    <row r="45" spans="3:21" ht="15.75">
      <c r="C45" s="175"/>
      <c r="D45" s="338" t="s">
        <v>276</v>
      </c>
      <c r="E45" s="180" t="s">
        <v>74</v>
      </c>
      <c r="F45" s="90" t="s">
        <v>161</v>
      </c>
      <c r="G45" s="90" t="s">
        <v>161</v>
      </c>
      <c r="H45" s="176" t="s">
        <v>161</v>
      </c>
      <c r="I45" s="90" t="s">
        <v>54</v>
      </c>
      <c r="J45" s="207" t="s">
        <v>177</v>
      </c>
      <c r="K45" s="207" t="s">
        <v>113</v>
      </c>
      <c r="L45" s="173" t="s">
        <v>277</v>
      </c>
      <c r="M45" s="174" t="s">
        <v>278</v>
      </c>
      <c r="O45" t="s">
        <v>299</v>
      </c>
      <c r="Q45" s="172" t="s">
        <v>275</v>
      </c>
      <c r="R45" s="95" t="s">
        <v>158</v>
      </c>
      <c r="S45" s="173" t="s">
        <v>159</v>
      </c>
      <c r="T45" s="173" t="s">
        <v>277</v>
      </c>
      <c r="U45" s="174" t="s">
        <v>278</v>
      </c>
    </row>
    <row r="46" spans="2:21" ht="12.75">
      <c r="B46" s="318" t="s">
        <v>155</v>
      </c>
      <c r="C46" s="341">
        <f>SUM(C48:C52)</f>
        <v>0</v>
      </c>
      <c r="D46" s="342">
        <f>IF($C46&lt;&gt;0,I46/$C46,"")</f>
      </c>
      <c r="E46" s="227">
        <f>IF($C46&lt;&gt;0,J46/$I46*100,"")</f>
      </c>
      <c r="F46" s="227">
        <f>IF($C46&lt;&gt;0,K46/($I46/1000),"")</f>
      </c>
      <c r="G46" s="228">
        <f>IF($C46&lt;&gt;0,L46/($I46/1000),"")</f>
      </c>
      <c r="H46" s="229">
        <f>IF($C46&lt;&gt;0,M46/($I46/1000),"")</f>
      </c>
      <c r="I46" s="343">
        <f>SUM(I48:I52)</f>
        <v>0</v>
      </c>
      <c r="J46" s="230">
        <f>SUM(J48:J52)</f>
        <v>0</v>
      </c>
      <c r="K46" s="230">
        <f>SUM(K48:K52)</f>
        <v>0</v>
      </c>
      <c r="L46" s="230">
        <f>SUM(L48:L52)</f>
        <v>0</v>
      </c>
      <c r="M46" s="230">
        <f>SUM(M48:M52)</f>
        <v>0</v>
      </c>
      <c r="Q46" s="338" t="s">
        <v>276</v>
      </c>
      <c r="R46" s="180" t="s">
        <v>74</v>
      </c>
      <c r="S46" s="90" t="s">
        <v>161</v>
      </c>
      <c r="T46" s="90" t="s">
        <v>161</v>
      </c>
      <c r="U46" s="176" t="s">
        <v>161</v>
      </c>
    </row>
    <row r="47" spans="2:21" ht="12.75">
      <c r="B47" s="319" t="s">
        <v>157</v>
      </c>
      <c r="C47" s="177"/>
      <c r="D47" s="177"/>
      <c r="E47" s="181"/>
      <c r="F47" s="178"/>
      <c r="G47" s="178"/>
      <c r="H47" s="179"/>
      <c r="I47" s="344"/>
      <c r="O47" t="s">
        <v>300</v>
      </c>
      <c r="Q47" s="262">
        <v>1000</v>
      </c>
      <c r="R47" s="182">
        <v>2.68</v>
      </c>
      <c r="S47" s="182">
        <v>2.41</v>
      </c>
      <c r="T47" s="182">
        <v>2.4</v>
      </c>
      <c r="U47" s="182">
        <v>1.62</v>
      </c>
    </row>
    <row r="48" spans="2:21" ht="12.75">
      <c r="B48" s="190" t="s">
        <v>44</v>
      </c>
      <c r="C48" s="339"/>
      <c r="D48" s="339">
        <v>1000</v>
      </c>
      <c r="E48" s="241">
        <v>2.9</v>
      </c>
      <c r="F48" s="346">
        <v>2.4</v>
      </c>
      <c r="G48" s="346">
        <v>2.29</v>
      </c>
      <c r="H48" s="347">
        <v>1.72</v>
      </c>
      <c r="I48" s="345">
        <f aca="true" t="shared" si="1" ref="I48:I53">IF($C48&lt;&gt;0,+D48*$C48,"")</f>
      </c>
      <c r="J48" s="231">
        <f aca="true" t="shared" si="2" ref="J48:J53">IF($C48&lt;&gt;0,+E48/100*$I48,"")</f>
      </c>
      <c r="K48" s="231">
        <f aca="true" t="shared" si="3" ref="K48:K53">IF($C48&lt;&gt;0,+F48*$I48/1000,"")</f>
      </c>
      <c r="L48" s="231">
        <f aca="true" t="shared" si="4" ref="L48:M53">IF($C48&lt;&gt;0,+G48/1000*$I48,"")</f>
      </c>
      <c r="M48" s="231">
        <f t="shared" si="4"/>
      </c>
      <c r="O48" t="s">
        <v>301</v>
      </c>
      <c r="Q48" s="262">
        <v>1000</v>
      </c>
      <c r="R48" s="182">
        <v>2.32</v>
      </c>
      <c r="S48" s="182">
        <v>2.32</v>
      </c>
      <c r="T48" s="182">
        <v>1.75</v>
      </c>
      <c r="U48" s="182">
        <v>1.88</v>
      </c>
    </row>
    <row r="49" spans="2:21" ht="12.75">
      <c r="B49" s="190" t="s">
        <v>147</v>
      </c>
      <c r="C49" s="339"/>
      <c r="D49" s="339">
        <v>1000</v>
      </c>
      <c r="E49" s="241">
        <v>2.9</v>
      </c>
      <c r="F49" s="346">
        <v>2.9</v>
      </c>
      <c r="G49" s="346">
        <v>1.5</v>
      </c>
      <c r="H49" s="347">
        <v>2.1</v>
      </c>
      <c r="I49" s="345">
        <f t="shared" si="1"/>
      </c>
      <c r="J49" s="231">
        <f t="shared" si="2"/>
      </c>
      <c r="K49" s="231">
        <f t="shared" si="3"/>
      </c>
      <c r="L49" s="231">
        <f t="shared" si="4"/>
      </c>
      <c r="M49" s="231">
        <f t="shared" si="4"/>
      </c>
      <c r="O49" t="s">
        <v>302</v>
      </c>
      <c r="Q49" s="262">
        <v>1000</v>
      </c>
      <c r="R49" s="182">
        <v>4.2</v>
      </c>
      <c r="S49" s="182">
        <v>3.45</v>
      </c>
      <c r="T49" s="182">
        <v>2.02</v>
      </c>
      <c r="U49" s="182">
        <v>2.26</v>
      </c>
    </row>
    <row r="50" spans="2:21" ht="12.75">
      <c r="B50" s="190" t="s">
        <v>307</v>
      </c>
      <c r="C50" s="339"/>
      <c r="D50" s="339">
        <v>1000</v>
      </c>
      <c r="E50" s="241">
        <v>4.2</v>
      </c>
      <c r="F50" s="346">
        <v>4.92</v>
      </c>
      <c r="G50" s="346">
        <v>2.7</v>
      </c>
      <c r="H50" s="347">
        <v>3.16</v>
      </c>
      <c r="I50" s="345">
        <f t="shared" si="1"/>
      </c>
      <c r="J50" s="231">
        <f t="shared" si="2"/>
      </c>
      <c r="K50" s="231">
        <f t="shared" si="3"/>
      </c>
      <c r="L50" s="231">
        <f t="shared" si="4"/>
      </c>
      <c r="M50" s="231">
        <f t="shared" si="4"/>
      </c>
      <c r="O50" t="s">
        <v>303</v>
      </c>
      <c r="Q50" s="262">
        <v>1000</v>
      </c>
      <c r="R50" s="182">
        <v>2.73</v>
      </c>
      <c r="S50" s="182">
        <v>2.52</v>
      </c>
      <c r="T50" s="182">
        <v>2.1</v>
      </c>
      <c r="U50" s="182">
        <v>1.81</v>
      </c>
    </row>
    <row r="51" spans="2:21" ht="12.75">
      <c r="B51" s="190"/>
      <c r="C51" s="339"/>
      <c r="D51" s="339">
        <v>1000</v>
      </c>
      <c r="E51" s="241"/>
      <c r="F51" s="346"/>
      <c r="G51" s="346"/>
      <c r="H51" s="347"/>
      <c r="I51" s="345">
        <f t="shared" si="1"/>
      </c>
      <c r="J51" s="231">
        <f t="shared" si="2"/>
      </c>
      <c r="K51" s="231">
        <f t="shared" si="3"/>
      </c>
      <c r="L51" s="231">
        <f t="shared" si="4"/>
      </c>
      <c r="M51" s="231">
        <f t="shared" si="4"/>
      </c>
      <c r="O51" t="s">
        <v>304</v>
      </c>
      <c r="Q51" s="262">
        <v>1000</v>
      </c>
      <c r="R51" s="182">
        <v>3.06</v>
      </c>
      <c r="S51" s="182">
        <v>3.72</v>
      </c>
      <c r="T51" s="182">
        <v>2.24</v>
      </c>
      <c r="U51" s="182">
        <v>2.44</v>
      </c>
    </row>
    <row r="52" spans="2:21" ht="12.75">
      <c r="B52" s="191"/>
      <c r="C52" s="340"/>
      <c r="D52" s="340">
        <v>1000</v>
      </c>
      <c r="E52" s="241"/>
      <c r="F52" s="346"/>
      <c r="G52" s="393"/>
      <c r="H52" s="347"/>
      <c r="I52" s="345">
        <f t="shared" si="1"/>
      </c>
      <c r="J52" s="231">
        <f t="shared" si="2"/>
      </c>
      <c r="K52" s="231">
        <f t="shared" si="3"/>
      </c>
      <c r="L52" s="231">
        <f t="shared" si="4"/>
      </c>
      <c r="M52" s="231">
        <f t="shared" si="4"/>
      </c>
      <c r="O52" t="s">
        <v>305</v>
      </c>
      <c r="Q52" s="262">
        <v>1000</v>
      </c>
      <c r="R52" s="182">
        <v>3.11</v>
      </c>
      <c r="S52" s="182">
        <v>4.08</v>
      </c>
      <c r="T52" s="182">
        <v>2.23</v>
      </c>
      <c r="U52" s="182">
        <v>2.65</v>
      </c>
    </row>
    <row r="53" spans="2:21" ht="12.75">
      <c r="B53" s="323" t="s">
        <v>300</v>
      </c>
      <c r="C53" s="238">
        <f>(G34*(C18+D18+C19+D19)/2+(C20+D20)/2*G35+(C21+D21)/2*G36)*C13/1000</f>
        <v>0</v>
      </c>
      <c r="D53" s="390">
        <f>IF($B53=$O$47,Q47,IF($B53=$O$48,Q48,IF($B53=$O49,Q49,IF($B53=$O50,Q50,IF($B53=$O51,Q51,IF($B53=$O52,Q52,Q53))))))</f>
        <v>1000</v>
      </c>
      <c r="E53" s="391">
        <f>IF($B53=$O$47,R47,IF($B53=$O$48,R48,IF($B53=$O49,R49,IF($B53=$O50,R50,IF($B53=$O51,R51,IF($B53=$O52,R52,R53))))))</f>
        <v>2.68</v>
      </c>
      <c r="F53" s="392">
        <f>IF($B53=$O$47,S47,IF($B53=$O$48,S48,IF($B53=$O49,S49,IF($B53=$O50,S50,IF($B53=$O51,S51,IF($B53=$O52,S52,S53))))))</f>
        <v>2.41</v>
      </c>
      <c r="G53" s="394">
        <f>IF($B53=$O$47,T47,IF($B53=$O$48,T48,IF($B53=$O49,T49,IF($B53=$O50,T50,IF($B53=$O51,T51,IF($B53=$O52,T52,T53))))))</f>
        <v>2.4</v>
      </c>
      <c r="H53" s="395">
        <f>IF($B53=$O$47,U47,IF($B53=$O$48,U48,IF($B53=$O49,U49,IF($B53=$O50,U50,IF($B53=$O51,U51,IF($B53=$O52,U52,U53))))))</f>
        <v>1.62</v>
      </c>
      <c r="I53" s="345">
        <f t="shared" si="1"/>
      </c>
      <c r="J53" s="231">
        <f t="shared" si="2"/>
      </c>
      <c r="K53" s="231">
        <f t="shared" si="3"/>
      </c>
      <c r="L53" s="231">
        <f t="shared" si="4"/>
      </c>
      <c r="M53" s="231">
        <f t="shared" si="4"/>
      </c>
      <c r="O53" t="s">
        <v>306</v>
      </c>
      <c r="Q53" s="262">
        <v>1000</v>
      </c>
      <c r="R53" s="182">
        <v>3.2</v>
      </c>
      <c r="S53" s="182">
        <v>3.98</v>
      </c>
      <c r="T53" s="182">
        <v>3.1</v>
      </c>
      <c r="U53" s="182">
        <v>2.7</v>
      </c>
    </row>
    <row r="54" spans="2:12" ht="12.75">
      <c r="B54" s="267"/>
      <c r="C54" s="265"/>
      <c r="D54" s="266"/>
      <c r="E54" s="266"/>
      <c r="F54" s="266"/>
      <c r="G54" s="273"/>
      <c r="H54" s="273"/>
      <c r="I54" s="231"/>
      <c r="J54" s="231"/>
      <c r="K54" s="231"/>
      <c r="L54" s="231"/>
    </row>
    <row r="55" ht="12.75">
      <c r="M55" s="207"/>
    </row>
    <row r="56" spans="2:23" ht="12.75">
      <c r="B56" s="271" t="s">
        <v>228</v>
      </c>
      <c r="C56" s="272"/>
      <c r="D56" s="273"/>
      <c r="E56" s="273"/>
      <c r="F56" s="273"/>
      <c r="G56" s="273"/>
      <c r="H56" s="273"/>
      <c r="I56" s="231"/>
      <c r="J56" s="231"/>
      <c r="K56" s="231"/>
      <c r="L56" s="231"/>
      <c r="V56" s="262"/>
      <c r="W56" s="262"/>
    </row>
    <row r="57" spans="2:23" ht="12.75">
      <c r="B57" s="274"/>
      <c r="C57" s="275"/>
      <c r="D57" s="276"/>
      <c r="E57" s="276"/>
      <c r="F57" s="276"/>
      <c r="G57" s="276"/>
      <c r="H57" s="273"/>
      <c r="I57" s="231"/>
      <c r="J57" s="231"/>
      <c r="K57" s="231"/>
      <c r="L57" s="231"/>
      <c r="V57" s="262"/>
      <c r="W57" s="262"/>
    </row>
    <row r="58" spans="2:24" ht="12.75">
      <c r="B58" s="277" t="s">
        <v>229</v>
      </c>
      <c r="C58" s="278" t="s">
        <v>230</v>
      </c>
      <c r="D58" s="279" t="s">
        <v>196</v>
      </c>
      <c r="E58" s="97" t="s">
        <v>199</v>
      </c>
      <c r="F58" s="90" t="s">
        <v>197</v>
      </c>
      <c r="G58" s="280" t="s">
        <v>231</v>
      </c>
      <c r="H58" s="329"/>
      <c r="J58" s="262" t="s">
        <v>232</v>
      </c>
      <c r="K58" s="262" t="s">
        <v>233</v>
      </c>
      <c r="L58" s="281" t="s">
        <v>234</v>
      </c>
      <c r="M58" s="281" t="s">
        <v>196</v>
      </c>
      <c r="N58" s="281" t="s">
        <v>199</v>
      </c>
      <c r="O58" s="282" t="s">
        <v>229</v>
      </c>
      <c r="P58" s="231" t="s">
        <v>230</v>
      </c>
      <c r="Q58" s="231"/>
      <c r="R58" s="283" t="s">
        <v>196</v>
      </c>
      <c r="S58" s="283" t="s">
        <v>199</v>
      </c>
      <c r="U58" s="283" t="s">
        <v>199</v>
      </c>
      <c r="V58" s="283" t="s">
        <v>235</v>
      </c>
      <c r="W58" s="283" t="s">
        <v>236</v>
      </c>
      <c r="X58" s="283" t="s">
        <v>237</v>
      </c>
    </row>
    <row r="59" spans="2:24" ht="12.75">
      <c r="B59" s="284"/>
      <c r="C59" s="285"/>
      <c r="D59" s="286" t="s">
        <v>198</v>
      </c>
      <c r="E59" s="96" t="s">
        <v>114</v>
      </c>
      <c r="F59" s="287" t="s">
        <v>198</v>
      </c>
      <c r="G59" s="317" t="s">
        <v>263</v>
      </c>
      <c r="H59" s="329"/>
      <c r="J59" s="262"/>
      <c r="K59" s="262"/>
      <c r="L59" s="262"/>
      <c r="M59" s="262"/>
      <c r="N59" s="262"/>
      <c r="O59" s="231" t="s">
        <v>238</v>
      </c>
      <c r="P59" s="231" t="s">
        <v>239</v>
      </c>
      <c r="Q59" s="231"/>
      <c r="R59" s="283" t="s">
        <v>240</v>
      </c>
      <c r="S59" s="289" t="s">
        <v>241</v>
      </c>
      <c r="T59" s="283" t="s">
        <v>240</v>
      </c>
      <c r="V59" s="262">
        <v>120</v>
      </c>
      <c r="W59" s="262">
        <v>10</v>
      </c>
      <c r="X59" s="262">
        <v>20</v>
      </c>
    </row>
    <row r="60" spans="2:24" ht="12.75">
      <c r="B60" s="290" t="s">
        <v>238</v>
      </c>
      <c r="C60" s="291" t="s">
        <v>239</v>
      </c>
      <c r="D60" s="292" t="s">
        <v>254</v>
      </c>
      <c r="E60" s="293" t="s">
        <v>248</v>
      </c>
      <c r="F60" s="259">
        <v>65</v>
      </c>
      <c r="G60" s="288">
        <f>IF(B60&lt;&gt;"",J60,0)</f>
        <v>60</v>
      </c>
      <c r="H60" s="329"/>
      <c r="I60" s="262">
        <f>J60*F60/100</f>
        <v>39</v>
      </c>
      <c r="J60" s="262">
        <f aca="true" t="shared" si="5" ref="J60:J68">SUM(K60:N60)</f>
        <v>60</v>
      </c>
      <c r="K60" s="262">
        <f>IF(B60=O$59,20,0)</f>
        <v>20</v>
      </c>
      <c r="L60" s="262">
        <f>IF(C60=P$59,20,IF(C60=P$60,10,0))</f>
        <v>20</v>
      </c>
      <c r="M60" s="262">
        <f>IF(D60&lt;&gt;"",VLOOKUP(D60,T$59:V$69,3,FALSE)," ")</f>
        <v>20</v>
      </c>
      <c r="N60" s="262">
        <f>IF(AND(E60=U$65,D60=T$64),-15,IF(AND(E60=U$66,D60=T$64),-40,IF(AND(D60=T$67,E60=U$66),-15,0)))</f>
        <v>0</v>
      </c>
      <c r="O60" s="258" t="s">
        <v>242</v>
      </c>
      <c r="P60" s="262" t="s">
        <v>243</v>
      </c>
      <c r="R60" s="262" t="s">
        <v>244</v>
      </c>
      <c r="S60" s="262" t="s">
        <v>245</v>
      </c>
      <c r="T60" s="262" t="s">
        <v>244</v>
      </c>
      <c r="V60" s="262">
        <v>110</v>
      </c>
      <c r="W60" s="262">
        <v>10</v>
      </c>
      <c r="X60" s="262">
        <v>20</v>
      </c>
    </row>
    <row r="61" spans="2:24" ht="12.75">
      <c r="B61" s="290" t="s">
        <v>242</v>
      </c>
      <c r="C61" s="291" t="s">
        <v>239</v>
      </c>
      <c r="D61" s="292" t="s">
        <v>200</v>
      </c>
      <c r="E61" s="293" t="s">
        <v>248</v>
      </c>
      <c r="F61" s="260">
        <v>25</v>
      </c>
      <c r="G61" s="288">
        <f aca="true" t="shared" si="6" ref="G61:G68">IF(B61&lt;&gt;"",J61,0)</f>
        <v>65</v>
      </c>
      <c r="H61" s="329"/>
      <c r="I61" s="262">
        <f aca="true" t="shared" si="7" ref="I61:I68">J61*F61/100</f>
        <v>16.25</v>
      </c>
      <c r="J61" s="262">
        <f t="shared" si="5"/>
        <v>65</v>
      </c>
      <c r="K61" s="262">
        <f aca="true" t="shared" si="8" ref="K61:K68">IF(B61=O$59,20,0)</f>
        <v>0</v>
      </c>
      <c r="L61" s="262">
        <f aca="true" t="shared" si="9" ref="L61:L68">IF(C61=P$59,20,IF(C61=P$60,10,0))</f>
        <v>20</v>
      </c>
      <c r="M61" s="262">
        <f aca="true" t="shared" si="10" ref="M61:M68">IF(D61&lt;&gt;"",VLOOKUP(D61,T$59:V$69,3,FALSE)," ")</f>
        <v>45</v>
      </c>
      <c r="N61" s="262">
        <f aca="true" t="shared" si="11" ref="N61:N68">IF(AND(E61=U$65,D61=T$64),-15,IF(AND(E61=U$66,D61=T$64),-40,IF(AND(D61=T$67,E61=U$66),-15,0)))</f>
        <v>0</v>
      </c>
      <c r="O61" s="268" t="s">
        <v>246</v>
      </c>
      <c r="P61" s="36" t="s">
        <v>235</v>
      </c>
      <c r="Q61" s="193"/>
      <c r="R61" s="262" t="s">
        <v>247</v>
      </c>
      <c r="S61" s="262" t="s">
        <v>248</v>
      </c>
      <c r="T61" s="262" t="s">
        <v>247</v>
      </c>
      <c r="V61" s="262">
        <v>100</v>
      </c>
      <c r="W61" s="262">
        <v>10</v>
      </c>
      <c r="X61" s="262">
        <v>20</v>
      </c>
    </row>
    <row r="62" spans="2:24" ht="12.75">
      <c r="B62" s="290" t="s">
        <v>246</v>
      </c>
      <c r="C62" s="291" t="s">
        <v>243</v>
      </c>
      <c r="D62" s="292" t="s">
        <v>200</v>
      </c>
      <c r="E62" s="293" t="s">
        <v>248</v>
      </c>
      <c r="F62" s="260">
        <v>10</v>
      </c>
      <c r="G62" s="288">
        <f t="shared" si="6"/>
        <v>55</v>
      </c>
      <c r="H62" s="329"/>
      <c r="I62" s="262">
        <f t="shared" si="7"/>
        <v>5.5</v>
      </c>
      <c r="J62" s="262">
        <f t="shared" si="5"/>
        <v>55</v>
      </c>
      <c r="K62" s="262">
        <f t="shared" si="8"/>
        <v>0</v>
      </c>
      <c r="L62" s="262">
        <f t="shared" si="9"/>
        <v>10</v>
      </c>
      <c r="M62" s="262">
        <f t="shared" si="10"/>
        <v>45</v>
      </c>
      <c r="N62" s="262">
        <f t="shared" si="11"/>
        <v>0</v>
      </c>
      <c r="O62" s="193"/>
      <c r="P62" s="28"/>
      <c r="Q62" s="193"/>
      <c r="R62" s="294" t="s">
        <v>249</v>
      </c>
      <c r="S62" s="262" t="s">
        <v>250</v>
      </c>
      <c r="T62" s="294" t="s">
        <v>249</v>
      </c>
      <c r="V62" s="262">
        <v>90</v>
      </c>
      <c r="W62" s="262">
        <v>10</v>
      </c>
      <c r="X62" s="262">
        <v>20</v>
      </c>
    </row>
    <row r="63" spans="2:24" ht="12.75">
      <c r="B63" s="290" t="s">
        <v>242</v>
      </c>
      <c r="C63" s="291" t="s">
        <v>239</v>
      </c>
      <c r="D63" s="292" t="s">
        <v>249</v>
      </c>
      <c r="E63" s="293" t="s">
        <v>241</v>
      </c>
      <c r="F63" s="259"/>
      <c r="G63" s="288">
        <f t="shared" si="6"/>
        <v>110</v>
      </c>
      <c r="H63" s="329"/>
      <c r="I63" s="262">
        <f t="shared" si="7"/>
        <v>0</v>
      </c>
      <c r="J63" s="262">
        <f t="shared" si="5"/>
        <v>110</v>
      </c>
      <c r="K63" s="262">
        <f t="shared" si="8"/>
        <v>0</v>
      </c>
      <c r="L63" s="262">
        <f t="shared" si="9"/>
        <v>20</v>
      </c>
      <c r="M63" s="262">
        <f t="shared" si="10"/>
        <v>90</v>
      </c>
      <c r="N63" s="262">
        <f t="shared" si="11"/>
        <v>0</v>
      </c>
      <c r="O63" s="193"/>
      <c r="P63" s="28"/>
      <c r="Q63" s="193"/>
      <c r="R63" s="294" t="s">
        <v>251</v>
      </c>
      <c r="T63" s="294" t="s">
        <v>251</v>
      </c>
      <c r="V63" s="262">
        <v>80</v>
      </c>
      <c r="W63" s="262">
        <v>10</v>
      </c>
      <c r="X63" s="262">
        <v>20</v>
      </c>
    </row>
    <row r="64" spans="2:24" ht="12" customHeight="1">
      <c r="B64" s="290" t="s">
        <v>242</v>
      </c>
      <c r="C64" s="291" t="s">
        <v>243</v>
      </c>
      <c r="D64" s="292" t="s">
        <v>251</v>
      </c>
      <c r="E64" s="293" t="s">
        <v>241</v>
      </c>
      <c r="F64" s="259"/>
      <c r="G64" s="288">
        <f t="shared" si="6"/>
        <v>90</v>
      </c>
      <c r="H64" s="329"/>
      <c r="I64" s="262">
        <f t="shared" si="7"/>
        <v>0</v>
      </c>
      <c r="J64" s="262">
        <f t="shared" si="5"/>
        <v>90</v>
      </c>
      <c r="K64" s="262">
        <f t="shared" si="8"/>
        <v>0</v>
      </c>
      <c r="L64" s="262">
        <f t="shared" si="9"/>
        <v>10</v>
      </c>
      <c r="M64" s="262">
        <f t="shared" si="10"/>
        <v>80</v>
      </c>
      <c r="N64" s="262">
        <f t="shared" si="11"/>
        <v>0</v>
      </c>
      <c r="R64" s="294" t="s">
        <v>252</v>
      </c>
      <c r="T64" s="294" t="s">
        <v>252</v>
      </c>
      <c r="U64" s="262" t="s">
        <v>253</v>
      </c>
      <c r="V64" s="262">
        <v>70</v>
      </c>
      <c r="W64" s="262">
        <v>10</v>
      </c>
      <c r="X64" s="262">
        <v>20</v>
      </c>
    </row>
    <row r="65" spans="2:24" ht="12.75">
      <c r="B65" s="290" t="s">
        <v>242</v>
      </c>
      <c r="C65" s="291" t="s">
        <v>235</v>
      </c>
      <c r="D65" s="292" t="s">
        <v>252</v>
      </c>
      <c r="E65" s="293" t="s">
        <v>248</v>
      </c>
      <c r="F65" s="259"/>
      <c r="G65" s="288">
        <f t="shared" si="6"/>
        <v>55</v>
      </c>
      <c r="H65" s="329"/>
      <c r="I65" s="262">
        <f t="shared" si="7"/>
        <v>0</v>
      </c>
      <c r="J65" s="262">
        <f t="shared" si="5"/>
        <v>55</v>
      </c>
      <c r="K65" s="262">
        <f t="shared" si="8"/>
        <v>0</v>
      </c>
      <c r="L65" s="262">
        <f t="shared" si="9"/>
        <v>0</v>
      </c>
      <c r="M65" s="262">
        <f t="shared" si="10"/>
        <v>70</v>
      </c>
      <c r="N65" s="262">
        <f t="shared" si="11"/>
        <v>-15</v>
      </c>
      <c r="R65" s="262" t="s">
        <v>200</v>
      </c>
      <c r="U65" s="262" t="s">
        <v>248</v>
      </c>
      <c r="V65" s="262">
        <v>55</v>
      </c>
      <c r="W65" s="262">
        <v>10</v>
      </c>
      <c r="X65" s="262">
        <v>20</v>
      </c>
    </row>
    <row r="66" spans="2:24" ht="12.75">
      <c r="B66" s="290" t="s">
        <v>246</v>
      </c>
      <c r="C66" s="291" t="s">
        <v>239</v>
      </c>
      <c r="D66" s="292" t="s">
        <v>200</v>
      </c>
      <c r="E66" s="293" t="s">
        <v>250</v>
      </c>
      <c r="F66" s="259"/>
      <c r="G66" s="288">
        <f t="shared" si="6"/>
        <v>50</v>
      </c>
      <c r="H66" s="329"/>
      <c r="I66" s="262">
        <f t="shared" si="7"/>
        <v>0</v>
      </c>
      <c r="J66" s="262">
        <f t="shared" si="5"/>
        <v>50</v>
      </c>
      <c r="K66" s="262">
        <f t="shared" si="8"/>
        <v>0</v>
      </c>
      <c r="L66" s="262">
        <f t="shared" si="9"/>
        <v>20</v>
      </c>
      <c r="M66" s="262">
        <f t="shared" si="10"/>
        <v>45</v>
      </c>
      <c r="N66" s="262">
        <f t="shared" si="11"/>
        <v>-15</v>
      </c>
      <c r="R66" s="262" t="s">
        <v>254</v>
      </c>
      <c r="U66" s="262" t="s">
        <v>250</v>
      </c>
      <c r="V66" s="262">
        <v>30</v>
      </c>
      <c r="W66" s="262">
        <v>10</v>
      </c>
      <c r="X66" s="262">
        <v>20</v>
      </c>
    </row>
    <row r="67" spans="2:24" ht="12.75">
      <c r="B67" s="290" t="s">
        <v>246</v>
      </c>
      <c r="C67" s="291" t="s">
        <v>243</v>
      </c>
      <c r="D67" s="292" t="s">
        <v>254</v>
      </c>
      <c r="E67" s="293" t="s">
        <v>241</v>
      </c>
      <c r="F67" s="259"/>
      <c r="G67" s="288">
        <f t="shared" si="6"/>
        <v>30</v>
      </c>
      <c r="H67" s="329"/>
      <c r="I67" s="262">
        <f t="shared" si="7"/>
        <v>0</v>
      </c>
      <c r="J67" s="262">
        <f t="shared" si="5"/>
        <v>30</v>
      </c>
      <c r="K67" s="262">
        <f t="shared" si="8"/>
        <v>0</v>
      </c>
      <c r="L67" s="262">
        <f t="shared" si="9"/>
        <v>10</v>
      </c>
      <c r="M67" s="262">
        <f t="shared" si="10"/>
        <v>20</v>
      </c>
      <c r="N67" s="262">
        <f t="shared" si="11"/>
        <v>0</v>
      </c>
      <c r="T67" s="262" t="s">
        <v>200</v>
      </c>
      <c r="U67" s="262">
        <f>10</f>
        <v>10</v>
      </c>
      <c r="V67" s="262">
        <v>45</v>
      </c>
      <c r="W67" s="262">
        <v>10</v>
      </c>
      <c r="X67" s="262">
        <v>20</v>
      </c>
    </row>
    <row r="68" spans="2:24" ht="12.75">
      <c r="B68" s="191" t="s">
        <v>246</v>
      </c>
      <c r="C68" s="189" t="s">
        <v>243</v>
      </c>
      <c r="D68" s="292" t="s">
        <v>254</v>
      </c>
      <c r="E68" s="293" t="s">
        <v>241</v>
      </c>
      <c r="F68" s="259"/>
      <c r="G68" s="317">
        <f t="shared" si="6"/>
        <v>30</v>
      </c>
      <c r="H68" s="329"/>
      <c r="I68" s="262">
        <f t="shared" si="7"/>
        <v>0</v>
      </c>
      <c r="J68" s="262">
        <f t="shared" si="5"/>
        <v>30</v>
      </c>
      <c r="K68" s="262">
        <f t="shared" si="8"/>
        <v>0</v>
      </c>
      <c r="L68" s="262">
        <f t="shared" si="9"/>
        <v>10</v>
      </c>
      <c r="M68" s="262">
        <f t="shared" si="10"/>
        <v>20</v>
      </c>
      <c r="N68" s="262">
        <f t="shared" si="11"/>
        <v>0</v>
      </c>
      <c r="U68" s="262" t="s">
        <v>250</v>
      </c>
      <c r="V68" s="262">
        <v>30</v>
      </c>
      <c r="W68" s="262">
        <v>10</v>
      </c>
      <c r="X68" s="262">
        <v>20</v>
      </c>
    </row>
    <row r="69" spans="2:24" ht="12.75">
      <c r="B69" s="320" t="s">
        <v>255</v>
      </c>
      <c r="C69" s="258" t="s">
        <v>266</v>
      </c>
      <c r="D69" s="178"/>
      <c r="E69" s="178"/>
      <c r="F69" s="295">
        <f>SUM(F60:F68)</f>
        <v>100</v>
      </c>
      <c r="G69" s="296"/>
      <c r="H69" s="224"/>
      <c r="I69" s="262"/>
      <c r="K69" s="262"/>
      <c r="L69" s="262"/>
      <c r="M69" s="262"/>
      <c r="N69" s="262"/>
      <c r="T69" s="262" t="s">
        <v>254</v>
      </c>
      <c r="U69" s="262"/>
      <c r="V69" s="262">
        <v>20</v>
      </c>
      <c r="W69" s="262">
        <v>10</v>
      </c>
      <c r="X69" s="262">
        <v>20</v>
      </c>
    </row>
    <row r="70" spans="2:14" ht="12.75">
      <c r="B70" s="321" t="s">
        <v>256</v>
      </c>
      <c r="C70" s="274"/>
      <c r="D70" s="274"/>
      <c r="E70" s="274"/>
      <c r="F70" s="274"/>
      <c r="G70" s="297">
        <f>SUM(I60:I68)</f>
        <v>60.75</v>
      </c>
      <c r="H70" s="382"/>
      <c r="K70" s="262"/>
      <c r="L70" s="262"/>
      <c r="M70" s="262"/>
      <c r="N70" s="262"/>
    </row>
    <row r="71" spans="2:14" ht="12.75">
      <c r="B71" s="298" t="s">
        <v>267</v>
      </c>
      <c r="K71" s="262"/>
      <c r="L71" s="262"/>
      <c r="M71" s="262"/>
      <c r="N71" s="262"/>
    </row>
    <row r="72" spans="2:14" ht="12.75">
      <c r="B72" s="268" t="s">
        <v>257</v>
      </c>
      <c r="K72" s="262"/>
      <c r="L72" s="262"/>
      <c r="M72" s="262"/>
      <c r="N72" s="262"/>
    </row>
    <row r="73" spans="2:14" ht="12.75">
      <c r="B73" s="268" t="s">
        <v>258</v>
      </c>
      <c r="K73" s="262"/>
      <c r="L73" s="262"/>
      <c r="M73" s="262"/>
      <c r="N73" s="262"/>
    </row>
    <row r="74" spans="2:13" ht="12.75">
      <c r="B74" s="268" t="s">
        <v>259</v>
      </c>
      <c r="M74" s="262"/>
    </row>
    <row r="75" spans="2:13" ht="12.75">
      <c r="B75" s="268" t="s">
        <v>264</v>
      </c>
      <c r="M75" s="262"/>
    </row>
    <row r="76" spans="2:13" ht="12.75">
      <c r="B76" s="268" t="s">
        <v>265</v>
      </c>
      <c r="M76" s="262"/>
    </row>
  </sheetData>
  <sheetProtection password="D347" sheet="1" objects="1" scenarios="1"/>
  <dataValidations count="6">
    <dataValidation type="custom" allowBlank="1" showInputMessage="1" showErrorMessage="1" errorTitle="Proportion des sols" error="Le total doit être égale à 100 %." sqref="F69">
      <formula1>100</formula1>
    </dataValidation>
    <dataValidation type="list" allowBlank="1" showInputMessage="1" showErrorMessage="1" sqref="B60:B68">
      <formula1>$O$59:$O$61</formula1>
    </dataValidation>
    <dataValidation type="list" allowBlank="1" showInputMessage="1" showErrorMessage="1" sqref="C60:C68">
      <formula1>$P$59:$P$61</formula1>
    </dataValidation>
    <dataValidation type="list" allowBlank="1" showInputMessage="1" showErrorMessage="1" sqref="D60:D68">
      <formula1>$R$59:$R$66</formula1>
    </dataValidation>
    <dataValidation type="list" allowBlank="1" showInputMessage="1" showErrorMessage="1" sqref="E60:E68">
      <formula1>$S$59:$S$62</formula1>
    </dataValidation>
    <dataValidation type="list" allowBlank="1" showInputMessage="1" showErrorMessage="1" sqref="B53">
      <formula1>$O$47:$O$53</formula1>
    </dataValidation>
  </dataValidations>
  <printOptions/>
  <pageMargins left="0.3937007874015748" right="0.3937007874015748" top="0.9448818897637796" bottom="3.87" header="0.51" footer="0.98"/>
  <pageSetup horizontalDpi="1200" verticalDpi="1200" orientation="portrait" scale="81" r:id="rId3"/>
  <headerFooter alignWithMargins="0">
    <oddHeader>&amp;L&amp;"Arial,Gras"Estimation des rejets
d'azote et de phosphore&amp;C&amp;"Arial,Gras"&amp;14Elevages&amp;RCorpen modifié
pour le Québec
</oddHeader>
    <oddFooter>&amp;L&amp;D&amp;R&amp;F - &amp;A</oddFooter>
  </headerFooter>
  <rowBreaks count="1" manualBreakCount="1">
    <brk id="41" min="1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111"/>
  <sheetViews>
    <sheetView showGridLines="0" showRowColHeaders="0" showZeros="0" showOutlineSymbols="0" zoomScale="80" zoomScaleNormal="80" workbookViewId="0" topLeftCell="A1">
      <pane ySplit="11" topLeftCell="BM12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28.140625" style="0" customWidth="1"/>
  </cols>
  <sheetData>
    <row r="1" spans="2:11" ht="12.75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/>
      <c r="C2" s="51" t="s">
        <v>15</v>
      </c>
      <c r="D2" s="135">
        <f>IF(Elevage!C2&lt;&gt;0,Elevage!C2,"")</f>
      </c>
      <c r="E2" s="29"/>
      <c r="F2" s="29"/>
      <c r="G2" s="30"/>
      <c r="I2" s="54"/>
      <c r="J2" s="54"/>
      <c r="K2" s="54"/>
    </row>
    <row r="3" spans="2:11" ht="12.75">
      <c r="B3" s="54"/>
      <c r="C3" s="52" t="s">
        <v>16</v>
      </c>
      <c r="D3" s="8">
        <f>IF(Elevage!D3&lt;&gt;0,Elevage!D3,"")</f>
      </c>
      <c r="E3" s="54"/>
      <c r="F3" s="54"/>
      <c r="G3" s="31"/>
      <c r="I3" s="54"/>
      <c r="J3" s="54"/>
      <c r="K3" s="54"/>
    </row>
    <row r="4" spans="2:11" ht="12.75">
      <c r="B4" s="54"/>
      <c r="C4" s="52"/>
      <c r="D4" s="8">
        <f>IF(Elevage!C4&lt;&gt;0,Elevage!C4,"")</f>
      </c>
      <c r="E4" s="54"/>
      <c r="F4" s="54"/>
      <c r="G4" s="31"/>
      <c r="I4" s="54"/>
      <c r="J4" s="54"/>
      <c r="K4" s="54"/>
    </row>
    <row r="5" spans="2:11" ht="12.75">
      <c r="B5" s="54"/>
      <c r="C5" s="53"/>
      <c r="D5" s="136">
        <f>IF(Elevage!C5&lt;&gt;0,Elevage!C5,"")</f>
      </c>
      <c r="E5" s="32"/>
      <c r="F5" s="32"/>
      <c r="G5" s="16"/>
      <c r="I5" s="54"/>
      <c r="J5" s="54"/>
      <c r="K5" s="54"/>
    </row>
    <row r="6" spans="2:11" ht="12.75"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2:11" ht="12.75">
      <c r="B7" s="54"/>
      <c r="C7" s="55" t="s">
        <v>69</v>
      </c>
      <c r="D7" s="9">
        <f>Elevage!J11</f>
        <v>37622</v>
      </c>
      <c r="E7" s="54"/>
      <c r="F7" s="54"/>
      <c r="G7" s="54"/>
      <c r="H7" s="54"/>
      <c r="I7" s="54"/>
      <c r="J7" s="54"/>
      <c r="K7" s="54"/>
    </row>
    <row r="8" spans="2:11" ht="12.75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2.75">
      <c r="B9" s="54"/>
      <c r="C9" s="54"/>
      <c r="D9" s="17" t="s">
        <v>70</v>
      </c>
      <c r="E9" s="58" t="s">
        <v>71</v>
      </c>
      <c r="F9" s="58" t="s">
        <v>72</v>
      </c>
      <c r="G9" s="58" t="s">
        <v>73</v>
      </c>
      <c r="H9" s="58" t="s">
        <v>72</v>
      </c>
      <c r="I9" s="54"/>
      <c r="J9" s="54"/>
      <c r="K9" s="54"/>
    </row>
    <row r="10" spans="2:11" ht="12.75">
      <c r="B10" s="54"/>
      <c r="C10" s="16"/>
      <c r="D10" s="18" t="s">
        <v>54</v>
      </c>
      <c r="E10" s="59" t="s">
        <v>74</v>
      </c>
      <c r="F10" s="59" t="s">
        <v>74</v>
      </c>
      <c r="G10" s="59" t="s">
        <v>54</v>
      </c>
      <c r="H10" s="59" t="s">
        <v>75</v>
      </c>
      <c r="I10" s="54"/>
      <c r="J10" s="54"/>
      <c r="K10" s="54"/>
    </row>
    <row r="11" spans="2:11" ht="12.75">
      <c r="B11" s="54"/>
      <c r="C11" s="57" t="s">
        <v>76</v>
      </c>
      <c r="D11" s="19">
        <f>D12+D22+D32</f>
        <v>0</v>
      </c>
      <c r="E11" s="20">
        <f>IF(D11&lt;&gt;0,G11*6.25/D11*100,"")</f>
      </c>
      <c r="F11" s="21">
        <f>IF(D11&lt;&gt;0,H11/D11*100,"")</f>
      </c>
      <c r="G11" s="19">
        <f>G12+G22+G32</f>
        <v>0</v>
      </c>
      <c r="H11" s="19">
        <f>H12+H22+H32</f>
        <v>0</v>
      </c>
      <c r="I11" s="54"/>
      <c r="J11" s="54"/>
      <c r="K11" s="54"/>
    </row>
    <row r="12" spans="2:11" ht="12.75">
      <c r="B12" s="5">
        <v>1</v>
      </c>
      <c r="C12" s="161" t="s">
        <v>44</v>
      </c>
      <c r="D12" s="162">
        <f>SUM(D13:D20)</f>
        <v>0</v>
      </c>
      <c r="E12" s="163">
        <f>IF(D12&lt;&gt;0,G12*6.25/D12*100,"")</f>
      </c>
      <c r="F12" s="164">
        <f>IF(D12&lt;&gt;0,H12/D12*100,"")</f>
      </c>
      <c r="G12" s="156">
        <f>SUM(G13:G21)</f>
        <v>0</v>
      </c>
      <c r="H12" s="156">
        <f>SUM(H13:H21)</f>
        <v>0</v>
      </c>
      <c r="I12" s="54"/>
      <c r="J12" s="54"/>
      <c r="K12" s="54"/>
    </row>
    <row r="13" spans="2:11" ht="12.75">
      <c r="B13" s="5">
        <f>+B12+1</f>
        <v>2</v>
      </c>
      <c r="C13" s="109" t="s">
        <v>223</v>
      </c>
      <c r="D13" s="110"/>
      <c r="E13" s="111">
        <v>13.5</v>
      </c>
      <c r="F13" s="112">
        <v>0.6218</v>
      </c>
      <c r="G13" s="6">
        <f>IF(E13&lt;&gt;0,+E13/100*D13/6.25,"")</f>
        <v>0</v>
      </c>
      <c r="H13" s="6">
        <f>IF(F13&lt;&gt;0,+F13/100*D13,"")</f>
        <v>0</v>
      </c>
      <c r="I13" s="54"/>
      <c r="J13" s="54"/>
      <c r="K13" s="54"/>
    </row>
    <row r="14" spans="2:11" ht="12.75">
      <c r="B14" s="5">
        <f aca="true" t="shared" si="0" ref="B14:B29">+B13+1</f>
        <v>3</v>
      </c>
      <c r="C14" s="109" t="s">
        <v>185</v>
      </c>
      <c r="D14" s="110"/>
      <c r="E14" s="111">
        <v>17</v>
      </c>
      <c r="F14" s="112">
        <v>0.74</v>
      </c>
      <c r="G14" s="6">
        <f aca="true" t="shared" si="1" ref="G14:G21">IF(E14&lt;&gt;0,+E14/100*D14/6.25,"")</f>
        <v>0</v>
      </c>
      <c r="H14" s="6">
        <f aca="true" t="shared" si="2" ref="H14:H21">IF(F14&lt;&gt;0,+F14/100*D14,"")</f>
        <v>0</v>
      </c>
      <c r="I14" s="54"/>
      <c r="J14" s="54"/>
      <c r="K14" s="54"/>
    </row>
    <row r="15" spans="2:11" ht="12.75">
      <c r="B15" s="5">
        <f t="shared" si="0"/>
        <v>4</v>
      </c>
      <c r="C15" s="109"/>
      <c r="D15" s="110">
        <v>0</v>
      </c>
      <c r="E15" s="111"/>
      <c r="F15" s="112"/>
      <c r="G15" s="6">
        <f t="shared" si="1"/>
      </c>
      <c r="H15" s="6">
        <f t="shared" si="2"/>
      </c>
      <c r="I15" s="54"/>
      <c r="J15" s="54"/>
      <c r="K15" s="54"/>
    </row>
    <row r="16" spans="2:11" ht="12.75">
      <c r="B16" s="5">
        <f t="shared" si="0"/>
        <v>5</v>
      </c>
      <c r="C16" s="109"/>
      <c r="D16" s="110">
        <v>0</v>
      </c>
      <c r="E16" s="111"/>
      <c r="F16" s="112"/>
      <c r="G16" s="6">
        <f t="shared" si="1"/>
      </c>
      <c r="H16" s="6">
        <f t="shared" si="2"/>
      </c>
      <c r="I16" s="54"/>
      <c r="J16" s="54"/>
      <c r="K16" s="54"/>
    </row>
    <row r="17" spans="2:11" ht="12.75">
      <c r="B17" s="5">
        <f t="shared" si="0"/>
        <v>6</v>
      </c>
      <c r="C17" s="109"/>
      <c r="D17" s="110"/>
      <c r="E17" s="111"/>
      <c r="F17" s="112"/>
      <c r="G17" s="6">
        <f t="shared" si="1"/>
      </c>
      <c r="H17" s="6">
        <f t="shared" si="2"/>
      </c>
      <c r="I17" s="54"/>
      <c r="J17" s="54"/>
      <c r="K17" s="54"/>
    </row>
    <row r="18" spans="2:11" ht="12.75">
      <c r="B18" s="5">
        <f t="shared" si="0"/>
        <v>7</v>
      </c>
      <c r="C18" s="109"/>
      <c r="D18" s="110"/>
      <c r="E18" s="111"/>
      <c r="F18" s="112"/>
      <c r="G18" s="6">
        <f t="shared" si="1"/>
      </c>
      <c r="H18" s="6">
        <f t="shared" si="2"/>
      </c>
      <c r="I18" s="54"/>
      <c r="J18" s="54"/>
      <c r="K18" s="54"/>
    </row>
    <row r="19" spans="2:11" ht="12.75">
      <c r="B19" s="5">
        <f t="shared" si="0"/>
        <v>8</v>
      </c>
      <c r="C19" s="109"/>
      <c r="D19" s="110"/>
      <c r="E19" s="111"/>
      <c r="F19" s="112"/>
      <c r="G19" s="6">
        <f t="shared" si="1"/>
      </c>
      <c r="H19" s="6">
        <f t="shared" si="2"/>
      </c>
      <c r="I19" s="54"/>
      <c r="J19" s="54"/>
      <c r="K19" s="54"/>
    </row>
    <row r="20" spans="2:11" ht="12.75">
      <c r="B20" s="5">
        <f t="shared" si="0"/>
        <v>9</v>
      </c>
      <c r="C20" s="109"/>
      <c r="D20" s="110"/>
      <c r="E20" s="111"/>
      <c r="F20" s="112"/>
      <c r="G20" s="6">
        <f t="shared" si="1"/>
      </c>
      <c r="H20" s="6">
        <f t="shared" si="2"/>
      </c>
      <c r="I20" s="54"/>
      <c r="J20" s="54"/>
      <c r="K20" s="54"/>
    </row>
    <row r="21" spans="2:11" ht="12.75">
      <c r="B21" s="5">
        <f t="shared" si="0"/>
        <v>10</v>
      </c>
      <c r="C21" s="109" t="s">
        <v>227</v>
      </c>
      <c r="D21" s="110"/>
      <c r="E21" s="111"/>
      <c r="F21" s="112"/>
      <c r="G21" s="6">
        <f t="shared" si="1"/>
      </c>
      <c r="H21" s="6">
        <f t="shared" si="2"/>
      </c>
      <c r="I21" s="54"/>
      <c r="J21" s="54"/>
      <c r="K21" s="54"/>
    </row>
    <row r="22" spans="2:11" ht="12.75">
      <c r="B22" s="5">
        <f t="shared" si="0"/>
        <v>11</v>
      </c>
      <c r="C22" s="161" t="s">
        <v>147</v>
      </c>
      <c r="D22" s="162">
        <f>SUM(D23:D30)</f>
        <v>0</v>
      </c>
      <c r="E22" s="163">
        <f>IF(D22&lt;&gt;0,G22*6.25/D22*100,"")</f>
      </c>
      <c r="F22" s="164">
        <f>IF(D22&lt;&gt;0,H22/D22*100,"")</f>
      </c>
      <c r="G22" s="156">
        <f>SUM(G23:G31)</f>
        <v>0</v>
      </c>
      <c r="H22" s="156">
        <f>SUM(H23:H31)</f>
        <v>0</v>
      </c>
      <c r="I22" s="54"/>
      <c r="J22" s="54"/>
      <c r="K22" s="54"/>
    </row>
    <row r="23" spans="2:11" ht="12.75">
      <c r="B23" s="5">
        <f t="shared" si="0"/>
        <v>12</v>
      </c>
      <c r="C23" s="109" t="s">
        <v>292</v>
      </c>
      <c r="D23" s="110"/>
      <c r="E23" s="111">
        <v>22</v>
      </c>
      <c r="F23" s="112">
        <v>0.6755</v>
      </c>
      <c r="G23" s="6">
        <f aca="true" t="shared" si="3" ref="G23:G31">IF(E23&lt;&gt;0,+E23/100*D23/6.25,"")</f>
        <v>0</v>
      </c>
      <c r="H23" s="6">
        <f aca="true" t="shared" si="4" ref="H23:H31">IF(F23&lt;&gt;0,+F23/100*D23,"")</f>
        <v>0</v>
      </c>
      <c r="I23" s="54"/>
      <c r="J23" s="54"/>
      <c r="K23" s="54"/>
    </row>
    <row r="24" spans="2:11" ht="12.75">
      <c r="B24" s="5">
        <f t="shared" si="0"/>
        <v>13</v>
      </c>
      <c r="C24" s="109" t="s">
        <v>193</v>
      </c>
      <c r="D24" s="110"/>
      <c r="E24" s="111">
        <v>21.5</v>
      </c>
      <c r="F24" s="112">
        <v>0.7</v>
      </c>
      <c r="G24" s="6">
        <f t="shared" si="3"/>
        <v>0</v>
      </c>
      <c r="H24" s="6">
        <f t="shared" si="4"/>
        <v>0</v>
      </c>
      <c r="I24" s="54"/>
      <c r="J24" s="54"/>
      <c r="K24" s="54"/>
    </row>
    <row r="25" spans="2:11" ht="12.75">
      <c r="B25" s="5">
        <f t="shared" si="0"/>
        <v>14</v>
      </c>
      <c r="C25" s="109" t="s">
        <v>194</v>
      </c>
      <c r="D25" s="110"/>
      <c r="E25" s="111">
        <v>18.7</v>
      </c>
      <c r="F25" s="112">
        <v>0.66</v>
      </c>
      <c r="G25" s="6">
        <f t="shared" si="3"/>
        <v>0</v>
      </c>
      <c r="H25" s="6">
        <f t="shared" si="4"/>
        <v>0</v>
      </c>
      <c r="I25" s="54"/>
      <c r="J25" s="54"/>
      <c r="K25" s="54"/>
    </row>
    <row r="26" spans="2:11" ht="12.75">
      <c r="B26" s="5">
        <f t="shared" si="0"/>
        <v>15</v>
      </c>
      <c r="C26" s="109" t="s">
        <v>195</v>
      </c>
      <c r="D26" s="110"/>
      <c r="E26" s="111">
        <v>19</v>
      </c>
      <c r="F26" s="112">
        <v>0.61</v>
      </c>
      <c r="G26" s="6">
        <f t="shared" si="3"/>
        <v>0</v>
      </c>
      <c r="H26" s="6">
        <f t="shared" si="4"/>
        <v>0</v>
      </c>
      <c r="I26" s="54"/>
      <c r="J26" s="54"/>
      <c r="K26" s="54"/>
    </row>
    <row r="27" spans="2:11" ht="12.75">
      <c r="B27" s="5">
        <f t="shared" si="0"/>
        <v>16</v>
      </c>
      <c r="C27" s="109"/>
      <c r="D27" s="110"/>
      <c r="E27" s="111"/>
      <c r="F27" s="112"/>
      <c r="G27" s="6">
        <f t="shared" si="3"/>
      </c>
      <c r="H27" s="6">
        <f t="shared" si="4"/>
      </c>
      <c r="I27" s="54"/>
      <c r="J27" s="54"/>
      <c r="K27" s="54"/>
    </row>
    <row r="28" spans="2:11" ht="12.75">
      <c r="B28" s="5">
        <f t="shared" si="0"/>
        <v>17</v>
      </c>
      <c r="C28" s="109"/>
      <c r="D28" s="110">
        <v>0</v>
      </c>
      <c r="E28" s="111">
        <v>0</v>
      </c>
      <c r="F28" s="112">
        <v>0</v>
      </c>
      <c r="G28" s="6">
        <f t="shared" si="3"/>
      </c>
      <c r="H28" s="6">
        <f t="shared" si="4"/>
      </c>
      <c r="I28" s="54"/>
      <c r="J28" s="54"/>
      <c r="K28" s="54"/>
    </row>
    <row r="29" spans="2:11" ht="12.75">
      <c r="B29" s="5">
        <f t="shared" si="0"/>
        <v>18</v>
      </c>
      <c r="C29" s="109"/>
      <c r="D29" s="110"/>
      <c r="E29" s="111"/>
      <c r="F29" s="112"/>
      <c r="G29" s="6">
        <f t="shared" si="3"/>
      </c>
      <c r="H29" s="6">
        <f t="shared" si="4"/>
      </c>
      <c r="I29" s="54"/>
      <c r="J29" s="54"/>
      <c r="K29" s="54"/>
    </row>
    <row r="30" spans="2:11" ht="12.75">
      <c r="B30" s="5">
        <f aca="true" t="shared" si="5" ref="B30:B45">+B29+1</f>
        <v>19</v>
      </c>
      <c r="C30" s="109"/>
      <c r="D30" s="110"/>
      <c r="E30" s="111"/>
      <c r="F30" s="112"/>
      <c r="G30" s="6">
        <f t="shared" si="3"/>
      </c>
      <c r="H30" s="6">
        <f t="shared" si="4"/>
      </c>
      <c r="I30" s="54"/>
      <c r="J30" s="54"/>
      <c r="K30" s="54"/>
    </row>
    <row r="31" spans="2:11" ht="12.75">
      <c r="B31" s="5">
        <f t="shared" si="5"/>
        <v>20</v>
      </c>
      <c r="C31" s="109" t="s">
        <v>227</v>
      </c>
      <c r="D31" s="110"/>
      <c r="E31" s="111"/>
      <c r="F31" s="112"/>
      <c r="G31" s="6">
        <f t="shared" si="3"/>
      </c>
      <c r="H31" s="6">
        <f t="shared" si="4"/>
      </c>
      <c r="I31" s="54"/>
      <c r="J31" s="54"/>
      <c r="K31" s="54"/>
    </row>
    <row r="32" spans="2:8" ht="12.75">
      <c r="B32" s="5">
        <f t="shared" si="5"/>
        <v>21</v>
      </c>
      <c r="C32" s="161" t="s">
        <v>148</v>
      </c>
      <c r="D32" s="162">
        <f>SUM(D33:D49)</f>
        <v>0</v>
      </c>
      <c r="E32" s="163">
        <f>IF(D32&lt;&gt;0,G32*6.25/D32*100,"")</f>
      </c>
      <c r="F32" s="164">
        <f>IF(D32&lt;&gt;0,H32/D32*100,"")</f>
      </c>
      <c r="G32" s="156">
        <f>SUM(G33:G50)</f>
        <v>0</v>
      </c>
      <c r="H32" s="156">
        <f>SUM(H33:H50)</f>
        <v>0</v>
      </c>
    </row>
    <row r="33" spans="2:8" ht="12.75">
      <c r="B33" s="5">
        <f t="shared" si="5"/>
        <v>22</v>
      </c>
      <c r="C33" s="109" t="s">
        <v>224</v>
      </c>
      <c r="D33" s="110"/>
      <c r="E33" s="111">
        <v>18</v>
      </c>
      <c r="F33" s="112">
        <v>0.6</v>
      </c>
      <c r="G33" s="6">
        <f aca="true" t="shared" si="6" ref="G33:G41">IF(E33&lt;&gt;0,+E33/100*D33/6.25,"")</f>
        <v>0</v>
      </c>
      <c r="H33" s="6">
        <f aca="true" t="shared" si="7" ref="H33:H41">IF(F33&lt;&gt;0,+F33/100*D33,"")</f>
        <v>0</v>
      </c>
    </row>
    <row r="34" spans="2:8" ht="12.75">
      <c r="B34" s="5">
        <f t="shared" si="5"/>
        <v>23</v>
      </c>
      <c r="C34" s="109" t="s">
        <v>225</v>
      </c>
      <c r="D34" s="110"/>
      <c r="E34" s="111">
        <v>16.6</v>
      </c>
      <c r="F34" s="112">
        <v>0.5</v>
      </c>
      <c r="G34" s="6">
        <f t="shared" si="6"/>
        <v>0</v>
      </c>
      <c r="H34" s="6">
        <f t="shared" si="7"/>
        <v>0</v>
      </c>
    </row>
    <row r="35" spans="2:8" ht="12.75">
      <c r="B35" s="5">
        <f t="shared" si="5"/>
        <v>24</v>
      </c>
      <c r="C35" s="109" t="s">
        <v>226</v>
      </c>
      <c r="D35" s="110"/>
      <c r="E35" s="111">
        <v>14.5</v>
      </c>
      <c r="F35" s="112">
        <v>0.45</v>
      </c>
      <c r="G35" s="6">
        <f t="shared" si="6"/>
        <v>0</v>
      </c>
      <c r="H35" s="6">
        <f t="shared" si="7"/>
        <v>0</v>
      </c>
    </row>
    <row r="36" spans="2:8" ht="12.75">
      <c r="B36" s="5">
        <f t="shared" si="5"/>
        <v>25</v>
      </c>
      <c r="C36" s="109"/>
      <c r="D36" s="110"/>
      <c r="E36" s="111"/>
      <c r="F36" s="112"/>
      <c r="G36" s="6">
        <f t="shared" si="6"/>
      </c>
      <c r="H36" s="6">
        <f t="shared" si="7"/>
      </c>
    </row>
    <row r="37" spans="2:8" ht="12.75">
      <c r="B37" s="5">
        <f t="shared" si="5"/>
        <v>26</v>
      </c>
      <c r="C37" s="109"/>
      <c r="D37" s="110"/>
      <c r="E37" s="111"/>
      <c r="F37" s="112"/>
      <c r="G37" s="6">
        <f t="shared" si="6"/>
      </c>
      <c r="H37" s="6">
        <f t="shared" si="7"/>
      </c>
    </row>
    <row r="38" spans="2:8" ht="12.75">
      <c r="B38" s="5">
        <f t="shared" si="5"/>
        <v>27</v>
      </c>
      <c r="C38" s="109"/>
      <c r="D38" s="110"/>
      <c r="E38" s="111"/>
      <c r="F38" s="112"/>
      <c r="G38" s="6">
        <f t="shared" si="6"/>
      </c>
      <c r="H38" s="6">
        <f t="shared" si="7"/>
      </c>
    </row>
    <row r="39" spans="2:8" ht="12.75">
      <c r="B39" s="5">
        <f t="shared" si="5"/>
        <v>28</v>
      </c>
      <c r="C39" s="109"/>
      <c r="D39" s="110"/>
      <c r="E39" s="111"/>
      <c r="F39" s="112"/>
      <c r="G39" s="6">
        <f t="shared" si="6"/>
      </c>
      <c r="H39" s="6">
        <f t="shared" si="7"/>
      </c>
    </row>
    <row r="40" spans="2:8" ht="12.75">
      <c r="B40" s="5">
        <f t="shared" si="5"/>
        <v>29</v>
      </c>
      <c r="C40" s="109"/>
      <c r="D40" s="110"/>
      <c r="E40" s="111"/>
      <c r="F40" s="112"/>
      <c r="G40" s="6">
        <f t="shared" si="6"/>
      </c>
      <c r="H40" s="6">
        <f t="shared" si="7"/>
      </c>
    </row>
    <row r="41" spans="2:8" ht="12.75">
      <c r="B41" s="5">
        <f t="shared" si="5"/>
        <v>30</v>
      </c>
      <c r="C41" s="109"/>
      <c r="D41" s="256"/>
      <c r="E41" s="111"/>
      <c r="F41" s="257"/>
      <c r="G41" s="6">
        <f t="shared" si="6"/>
      </c>
      <c r="H41" s="6">
        <f t="shared" si="7"/>
      </c>
    </row>
    <row r="42" spans="2:8" ht="12.75">
      <c r="B42" s="5">
        <f t="shared" si="5"/>
        <v>31</v>
      </c>
      <c r="C42" s="109"/>
      <c r="D42" s="110"/>
      <c r="E42" s="111"/>
      <c r="F42" s="112"/>
      <c r="G42" s="6">
        <f>IF(E42&lt;&gt;0,+E42/100*D42/6.25,"")</f>
      </c>
      <c r="H42" s="6">
        <f>IF(F42&lt;&gt;0,+F42/100*D42,"")</f>
      </c>
    </row>
    <row r="43" spans="2:8" ht="12.75">
      <c r="B43" s="5">
        <f t="shared" si="5"/>
        <v>32</v>
      </c>
      <c r="C43" s="109"/>
      <c r="D43" s="110"/>
      <c r="E43" s="111"/>
      <c r="F43" s="112"/>
      <c r="G43" s="6">
        <f aca="true" t="shared" si="8" ref="G43:G50">IF(E43&lt;&gt;0,+E43/100*D43/6.25,"")</f>
      </c>
      <c r="H43" s="6">
        <f aca="true" t="shared" si="9" ref="H43:H50">IF(F43&lt;&gt;0,+F43/100*D43,"")</f>
      </c>
    </row>
    <row r="44" spans="2:8" ht="12.75">
      <c r="B44" s="5">
        <f t="shared" si="5"/>
        <v>33</v>
      </c>
      <c r="C44" s="109"/>
      <c r="D44" s="110"/>
      <c r="E44" s="111"/>
      <c r="F44" s="112"/>
      <c r="G44" s="6">
        <f t="shared" si="8"/>
      </c>
      <c r="H44" s="6">
        <f t="shared" si="9"/>
      </c>
    </row>
    <row r="45" spans="2:8" ht="12.75">
      <c r="B45" s="5">
        <f t="shared" si="5"/>
        <v>34</v>
      </c>
      <c r="C45" s="109"/>
      <c r="D45" s="110"/>
      <c r="E45" s="111"/>
      <c r="F45" s="112"/>
      <c r="G45" s="6">
        <f t="shared" si="8"/>
      </c>
      <c r="H45" s="6">
        <f t="shared" si="9"/>
      </c>
    </row>
    <row r="46" spans="2:8" ht="12.75">
      <c r="B46" s="5">
        <f aca="true" t="shared" si="10" ref="B46:B61">+B45+1</f>
        <v>35</v>
      </c>
      <c r="C46" s="109"/>
      <c r="D46" s="110"/>
      <c r="E46" s="111"/>
      <c r="F46" s="112"/>
      <c r="G46" s="6">
        <f t="shared" si="8"/>
      </c>
      <c r="H46" s="6">
        <f t="shared" si="9"/>
      </c>
    </row>
    <row r="47" spans="2:8" ht="12.75">
      <c r="B47" s="5">
        <f t="shared" si="10"/>
        <v>36</v>
      </c>
      <c r="C47" s="109"/>
      <c r="D47" s="110"/>
      <c r="E47" s="111"/>
      <c r="F47" s="112"/>
      <c r="G47" s="6">
        <f t="shared" si="8"/>
      </c>
      <c r="H47" s="6">
        <f t="shared" si="9"/>
      </c>
    </row>
    <row r="48" spans="2:8" ht="12.75">
      <c r="B48" s="5">
        <f t="shared" si="10"/>
        <v>37</v>
      </c>
      <c r="C48" s="109"/>
      <c r="D48" s="110"/>
      <c r="E48" s="111"/>
      <c r="F48" s="112"/>
      <c r="G48" s="6">
        <f t="shared" si="8"/>
      </c>
      <c r="H48" s="6">
        <f t="shared" si="9"/>
      </c>
    </row>
    <row r="49" spans="2:8" ht="12.75">
      <c r="B49" s="5">
        <f t="shared" si="10"/>
        <v>38</v>
      </c>
      <c r="C49" s="109"/>
      <c r="D49" s="110"/>
      <c r="E49" s="111"/>
      <c r="F49" s="112"/>
      <c r="G49" s="6">
        <f t="shared" si="8"/>
      </c>
      <c r="H49" s="6">
        <f t="shared" si="9"/>
      </c>
    </row>
    <row r="50" spans="2:8" ht="12.75">
      <c r="B50" s="5">
        <f t="shared" si="10"/>
        <v>39</v>
      </c>
      <c r="C50" s="157" t="s">
        <v>227</v>
      </c>
      <c r="D50" s="158"/>
      <c r="E50" s="159"/>
      <c r="F50" s="160"/>
      <c r="G50" s="7">
        <f t="shared" si="8"/>
      </c>
      <c r="H50" s="7">
        <f t="shared" si="9"/>
      </c>
    </row>
    <row r="51" spans="2:8" ht="12.75">
      <c r="B51" s="5">
        <f t="shared" si="10"/>
        <v>40</v>
      </c>
      <c r="C51" s="109"/>
      <c r="D51" s="110"/>
      <c r="E51" s="111"/>
      <c r="F51" s="112"/>
      <c r="G51" s="6">
        <f aca="true" t="shared" si="11" ref="G51:G59">IF(D51&lt;&gt;0,+E51/100*D51/6.25,"")</f>
      </c>
      <c r="H51" s="6">
        <f aca="true" t="shared" si="12" ref="H51:H59">IF(E51&lt;&gt;0,+F51/100*D51,"")</f>
      </c>
    </row>
    <row r="52" spans="2:8" ht="12.75">
      <c r="B52" s="5">
        <f t="shared" si="10"/>
        <v>41</v>
      </c>
      <c r="C52" s="109"/>
      <c r="D52" s="110"/>
      <c r="E52" s="111"/>
      <c r="F52" s="112"/>
      <c r="G52" s="6">
        <f t="shared" si="11"/>
      </c>
      <c r="H52" s="6">
        <f t="shared" si="12"/>
      </c>
    </row>
    <row r="53" spans="2:8" ht="12.75">
      <c r="B53" s="5">
        <f t="shared" si="10"/>
        <v>42</v>
      </c>
      <c r="C53" s="109"/>
      <c r="D53" s="110"/>
      <c r="E53" s="111"/>
      <c r="F53" s="112"/>
      <c r="G53" s="6">
        <f t="shared" si="11"/>
      </c>
      <c r="H53" s="6">
        <f t="shared" si="12"/>
      </c>
    </row>
    <row r="54" spans="2:8" ht="12.75">
      <c r="B54" s="5">
        <f t="shared" si="10"/>
        <v>43</v>
      </c>
      <c r="C54" s="109"/>
      <c r="D54" s="110"/>
      <c r="E54" s="111"/>
      <c r="F54" s="112"/>
      <c r="G54" s="6">
        <f t="shared" si="11"/>
      </c>
      <c r="H54" s="6">
        <f t="shared" si="12"/>
      </c>
    </row>
    <row r="55" spans="2:8" ht="12.75">
      <c r="B55" s="5">
        <f t="shared" si="10"/>
        <v>44</v>
      </c>
      <c r="C55" s="109"/>
      <c r="D55" s="110"/>
      <c r="E55" s="111"/>
      <c r="F55" s="112"/>
      <c r="G55" s="6">
        <f t="shared" si="11"/>
      </c>
      <c r="H55" s="6">
        <f t="shared" si="12"/>
      </c>
    </row>
    <row r="56" spans="2:8" ht="12.75">
      <c r="B56" s="5">
        <f t="shared" si="10"/>
        <v>45</v>
      </c>
      <c r="C56" s="109"/>
      <c r="D56" s="110"/>
      <c r="E56" s="111"/>
      <c r="F56" s="112"/>
      <c r="G56" s="6">
        <f t="shared" si="11"/>
      </c>
      <c r="H56" s="6">
        <f t="shared" si="12"/>
      </c>
    </row>
    <row r="57" spans="2:8" ht="12.75">
      <c r="B57" s="5">
        <f t="shared" si="10"/>
        <v>46</v>
      </c>
      <c r="C57" s="109"/>
      <c r="D57" s="110"/>
      <c r="E57" s="111"/>
      <c r="F57" s="112"/>
      <c r="G57" s="6">
        <f t="shared" si="11"/>
      </c>
      <c r="H57" s="6">
        <f t="shared" si="12"/>
      </c>
    </row>
    <row r="58" spans="2:8" ht="12.75">
      <c r="B58" s="5">
        <f t="shared" si="10"/>
        <v>47</v>
      </c>
      <c r="C58" s="109"/>
      <c r="D58" s="110"/>
      <c r="E58" s="111"/>
      <c r="F58" s="112"/>
      <c r="G58" s="6">
        <f t="shared" si="11"/>
      </c>
      <c r="H58" s="6">
        <f t="shared" si="12"/>
      </c>
    </row>
    <row r="59" spans="2:8" ht="12.75">
      <c r="B59" s="5">
        <f t="shared" si="10"/>
        <v>48</v>
      </c>
      <c r="C59" s="109"/>
      <c r="D59" s="110"/>
      <c r="E59" s="111"/>
      <c r="F59" s="112"/>
      <c r="G59" s="6">
        <f t="shared" si="11"/>
      </c>
      <c r="H59" s="6">
        <f t="shared" si="12"/>
      </c>
    </row>
    <row r="60" spans="2:8" ht="12.75">
      <c r="B60" s="5">
        <f t="shared" si="10"/>
        <v>49</v>
      </c>
      <c r="C60" s="109"/>
      <c r="D60" s="110"/>
      <c r="E60" s="111"/>
      <c r="F60" s="112"/>
      <c r="G60" s="6">
        <f aca="true" t="shared" si="13" ref="G60:G75">IF(D60&lt;&gt;0,+E60/100*D60/6.25,"")</f>
      </c>
      <c r="H60" s="6">
        <f aca="true" t="shared" si="14" ref="H60:H75">IF(E60&lt;&gt;0,+F60/100*D60,"")</f>
      </c>
    </row>
    <row r="61" spans="2:8" ht="12.75">
      <c r="B61" s="5">
        <f t="shared" si="10"/>
        <v>50</v>
      </c>
      <c r="C61" s="109"/>
      <c r="D61" s="110"/>
      <c r="E61" s="111"/>
      <c r="F61" s="112"/>
      <c r="G61" s="6">
        <f t="shared" si="13"/>
      </c>
      <c r="H61" s="6">
        <f t="shared" si="14"/>
      </c>
    </row>
    <row r="62" spans="2:8" ht="12.75">
      <c r="B62" s="5">
        <f aca="true" t="shared" si="15" ref="B62:B77">+B61+1</f>
        <v>51</v>
      </c>
      <c r="C62" s="109"/>
      <c r="D62" s="110"/>
      <c r="E62" s="111"/>
      <c r="F62" s="112"/>
      <c r="G62" s="6">
        <f t="shared" si="13"/>
      </c>
      <c r="H62" s="6">
        <f t="shared" si="14"/>
      </c>
    </row>
    <row r="63" spans="2:8" ht="12.75">
      <c r="B63" s="5">
        <f t="shared" si="15"/>
        <v>52</v>
      </c>
      <c r="C63" s="109"/>
      <c r="D63" s="110"/>
      <c r="E63" s="111"/>
      <c r="F63" s="112"/>
      <c r="G63" s="6">
        <f t="shared" si="13"/>
      </c>
      <c r="H63" s="6">
        <f t="shared" si="14"/>
      </c>
    </row>
    <row r="64" spans="2:8" ht="12.75">
      <c r="B64" s="5">
        <f t="shared" si="15"/>
        <v>53</v>
      </c>
      <c r="C64" s="109"/>
      <c r="D64" s="110"/>
      <c r="E64" s="111"/>
      <c r="F64" s="112"/>
      <c r="G64" s="6">
        <f t="shared" si="13"/>
      </c>
      <c r="H64" s="6">
        <f t="shared" si="14"/>
      </c>
    </row>
    <row r="65" spans="2:8" ht="12.75">
      <c r="B65" s="5">
        <f t="shared" si="15"/>
        <v>54</v>
      </c>
      <c r="C65" s="109"/>
      <c r="D65" s="110"/>
      <c r="E65" s="111"/>
      <c r="F65" s="112"/>
      <c r="G65" s="6">
        <f t="shared" si="13"/>
      </c>
      <c r="H65" s="6">
        <f t="shared" si="14"/>
      </c>
    </row>
    <row r="66" spans="2:8" ht="12.75">
      <c r="B66" s="5">
        <f t="shared" si="15"/>
        <v>55</v>
      </c>
      <c r="C66" s="109"/>
      <c r="D66" s="110"/>
      <c r="E66" s="111"/>
      <c r="F66" s="112"/>
      <c r="G66" s="6">
        <f t="shared" si="13"/>
      </c>
      <c r="H66" s="6">
        <f t="shared" si="14"/>
      </c>
    </row>
    <row r="67" spans="2:8" ht="12.75">
      <c r="B67" s="5">
        <f t="shared" si="15"/>
        <v>56</v>
      </c>
      <c r="C67" s="109"/>
      <c r="D67" s="110"/>
      <c r="E67" s="111"/>
      <c r="F67" s="112"/>
      <c r="G67" s="6">
        <f t="shared" si="13"/>
      </c>
      <c r="H67" s="6">
        <f t="shared" si="14"/>
      </c>
    </row>
    <row r="68" spans="2:8" ht="12.75">
      <c r="B68" s="5">
        <f t="shared" si="15"/>
        <v>57</v>
      </c>
      <c r="C68" s="109"/>
      <c r="D68" s="110"/>
      <c r="E68" s="111"/>
      <c r="F68" s="112"/>
      <c r="G68" s="6">
        <f t="shared" si="13"/>
      </c>
      <c r="H68" s="6">
        <f t="shared" si="14"/>
      </c>
    </row>
    <row r="69" spans="2:8" ht="12.75">
      <c r="B69" s="5">
        <f t="shared" si="15"/>
        <v>58</v>
      </c>
      <c r="C69" s="109"/>
      <c r="D69" s="110"/>
      <c r="E69" s="111"/>
      <c r="F69" s="112"/>
      <c r="G69" s="6">
        <f t="shared" si="13"/>
      </c>
      <c r="H69" s="6">
        <f t="shared" si="14"/>
      </c>
    </row>
    <row r="70" spans="2:8" ht="12.75">
      <c r="B70" s="5">
        <f t="shared" si="15"/>
        <v>59</v>
      </c>
      <c r="C70" s="109"/>
      <c r="D70" s="110"/>
      <c r="E70" s="111"/>
      <c r="F70" s="112"/>
      <c r="G70" s="6">
        <f t="shared" si="13"/>
      </c>
      <c r="H70" s="6">
        <f t="shared" si="14"/>
      </c>
    </row>
    <row r="71" spans="2:8" ht="12.75">
      <c r="B71" s="5">
        <f t="shared" si="15"/>
        <v>60</v>
      </c>
      <c r="C71" s="109"/>
      <c r="D71" s="110"/>
      <c r="E71" s="111"/>
      <c r="F71" s="112"/>
      <c r="G71" s="6">
        <f t="shared" si="13"/>
      </c>
      <c r="H71" s="6">
        <f t="shared" si="14"/>
      </c>
    </row>
    <row r="72" spans="2:8" ht="12.75">
      <c r="B72" s="5">
        <f t="shared" si="15"/>
        <v>61</v>
      </c>
      <c r="C72" s="109"/>
      <c r="D72" s="110"/>
      <c r="E72" s="111"/>
      <c r="F72" s="112"/>
      <c r="G72" s="6">
        <f t="shared" si="13"/>
      </c>
      <c r="H72" s="6">
        <f t="shared" si="14"/>
      </c>
    </row>
    <row r="73" spans="2:8" ht="12.75">
      <c r="B73" s="5">
        <f t="shared" si="15"/>
        <v>62</v>
      </c>
      <c r="C73" s="109"/>
      <c r="D73" s="110"/>
      <c r="E73" s="111"/>
      <c r="F73" s="112"/>
      <c r="G73" s="6">
        <f t="shared" si="13"/>
      </c>
      <c r="H73" s="6">
        <f t="shared" si="14"/>
      </c>
    </row>
    <row r="74" spans="2:8" ht="12.75">
      <c r="B74" s="5">
        <f t="shared" si="15"/>
        <v>63</v>
      </c>
      <c r="C74" s="109"/>
      <c r="D74" s="110"/>
      <c r="E74" s="111"/>
      <c r="F74" s="112"/>
      <c r="G74" s="6">
        <f t="shared" si="13"/>
      </c>
      <c r="H74" s="6">
        <f t="shared" si="14"/>
      </c>
    </row>
    <row r="75" spans="2:8" ht="12.75">
      <c r="B75" s="5">
        <f t="shared" si="15"/>
        <v>64</v>
      </c>
      <c r="C75" s="109"/>
      <c r="D75" s="110"/>
      <c r="E75" s="111"/>
      <c r="F75" s="112"/>
      <c r="G75" s="6">
        <f t="shared" si="13"/>
      </c>
      <c r="H75" s="6">
        <f t="shared" si="14"/>
      </c>
    </row>
    <row r="76" spans="2:8" ht="12.75">
      <c r="B76" s="5">
        <f t="shared" si="15"/>
        <v>65</v>
      </c>
      <c r="C76" s="109"/>
      <c r="D76" s="110"/>
      <c r="E76" s="111"/>
      <c r="F76" s="112"/>
      <c r="G76" s="6">
        <f aca="true" t="shared" si="16" ref="G76:G91">IF(D76&lt;&gt;0,+E76/100*D76/6.25,"")</f>
      </c>
      <c r="H76" s="6">
        <f aca="true" t="shared" si="17" ref="H76:H91">IF(E76&lt;&gt;0,+F76/100*D76,"")</f>
      </c>
    </row>
    <row r="77" spans="2:8" ht="12.75">
      <c r="B77" s="5">
        <f t="shared" si="15"/>
        <v>66</v>
      </c>
      <c r="C77" s="109"/>
      <c r="D77" s="110"/>
      <c r="E77" s="111"/>
      <c r="F77" s="112"/>
      <c r="G77" s="6">
        <f t="shared" si="16"/>
      </c>
      <c r="H77" s="6">
        <f t="shared" si="17"/>
      </c>
    </row>
    <row r="78" spans="2:8" ht="12.75">
      <c r="B78" s="5">
        <f aca="true" t="shared" si="18" ref="B78:B93">+B77+1</f>
        <v>67</v>
      </c>
      <c r="C78" s="109"/>
      <c r="D78" s="110"/>
      <c r="E78" s="111"/>
      <c r="F78" s="112"/>
      <c r="G78" s="6">
        <f t="shared" si="16"/>
      </c>
      <c r="H78" s="6">
        <f t="shared" si="17"/>
      </c>
    </row>
    <row r="79" spans="2:8" ht="12.75">
      <c r="B79" s="5">
        <f t="shared" si="18"/>
        <v>68</v>
      </c>
      <c r="C79" s="109"/>
      <c r="D79" s="110"/>
      <c r="E79" s="111"/>
      <c r="F79" s="112"/>
      <c r="G79" s="6">
        <f t="shared" si="16"/>
      </c>
      <c r="H79" s="6">
        <f t="shared" si="17"/>
      </c>
    </row>
    <row r="80" spans="2:8" ht="12.75">
      <c r="B80" s="5">
        <f t="shared" si="18"/>
        <v>69</v>
      </c>
      <c r="C80" s="109"/>
      <c r="D80" s="110"/>
      <c r="E80" s="111"/>
      <c r="F80" s="112"/>
      <c r="G80" s="6">
        <f t="shared" si="16"/>
      </c>
      <c r="H80" s="6">
        <f t="shared" si="17"/>
      </c>
    </row>
    <row r="81" spans="2:8" ht="12.75">
      <c r="B81" s="5">
        <f t="shared" si="18"/>
        <v>70</v>
      </c>
      <c r="C81" s="109"/>
      <c r="D81" s="110"/>
      <c r="E81" s="111"/>
      <c r="F81" s="112"/>
      <c r="G81" s="6">
        <f t="shared" si="16"/>
      </c>
      <c r="H81" s="6">
        <f t="shared" si="17"/>
      </c>
    </row>
    <row r="82" spans="2:8" ht="12.75">
      <c r="B82" s="5">
        <f t="shared" si="18"/>
        <v>71</v>
      </c>
      <c r="C82" s="109"/>
      <c r="D82" s="110"/>
      <c r="E82" s="111"/>
      <c r="F82" s="112"/>
      <c r="G82" s="6">
        <f t="shared" si="16"/>
      </c>
      <c r="H82" s="6">
        <f t="shared" si="17"/>
      </c>
    </row>
    <row r="83" spans="2:8" ht="12.75">
      <c r="B83" s="5">
        <f t="shared" si="18"/>
        <v>72</v>
      </c>
      <c r="C83" s="109"/>
      <c r="D83" s="110"/>
      <c r="E83" s="111"/>
      <c r="F83" s="112"/>
      <c r="G83" s="6">
        <f t="shared" si="16"/>
      </c>
      <c r="H83" s="6">
        <f t="shared" si="17"/>
      </c>
    </row>
    <row r="84" spans="2:8" ht="12.75">
      <c r="B84" s="5">
        <f t="shared" si="18"/>
        <v>73</v>
      </c>
      <c r="C84" s="109"/>
      <c r="D84" s="110"/>
      <c r="E84" s="111"/>
      <c r="F84" s="112"/>
      <c r="G84" s="6">
        <f t="shared" si="16"/>
      </c>
      <c r="H84" s="6">
        <f t="shared" si="17"/>
      </c>
    </row>
    <row r="85" spans="2:8" ht="12.75">
      <c r="B85" s="5">
        <f t="shared" si="18"/>
        <v>74</v>
      </c>
      <c r="C85" s="109"/>
      <c r="D85" s="110"/>
      <c r="E85" s="111"/>
      <c r="F85" s="112"/>
      <c r="G85" s="6">
        <f t="shared" si="16"/>
      </c>
      <c r="H85" s="6">
        <f t="shared" si="17"/>
      </c>
    </row>
    <row r="86" spans="2:8" ht="12.75">
      <c r="B86" s="5">
        <f t="shared" si="18"/>
        <v>75</v>
      </c>
      <c r="C86" s="109"/>
      <c r="D86" s="110"/>
      <c r="E86" s="111"/>
      <c r="F86" s="112"/>
      <c r="G86" s="6">
        <f t="shared" si="16"/>
      </c>
      <c r="H86" s="6">
        <f t="shared" si="17"/>
      </c>
    </row>
    <row r="87" spans="2:8" ht="12.75">
      <c r="B87" s="5">
        <f t="shared" si="18"/>
        <v>76</v>
      </c>
      <c r="C87" s="109"/>
      <c r="D87" s="110"/>
      <c r="E87" s="111"/>
      <c r="F87" s="112"/>
      <c r="G87" s="6">
        <f t="shared" si="16"/>
      </c>
      <c r="H87" s="6">
        <f t="shared" si="17"/>
      </c>
    </row>
    <row r="88" spans="2:8" ht="12.75">
      <c r="B88" s="5">
        <f t="shared" si="18"/>
        <v>77</v>
      </c>
      <c r="C88" s="109"/>
      <c r="D88" s="110"/>
      <c r="E88" s="111"/>
      <c r="F88" s="112"/>
      <c r="G88" s="6">
        <f t="shared" si="16"/>
      </c>
      <c r="H88" s="6">
        <f t="shared" si="17"/>
      </c>
    </row>
    <row r="89" spans="2:8" ht="12.75">
      <c r="B89" s="5">
        <f t="shared" si="18"/>
        <v>78</v>
      </c>
      <c r="C89" s="109"/>
      <c r="D89" s="110"/>
      <c r="E89" s="111"/>
      <c r="F89" s="112"/>
      <c r="G89" s="6">
        <f t="shared" si="16"/>
      </c>
      <c r="H89" s="6">
        <f t="shared" si="17"/>
      </c>
    </row>
    <row r="90" spans="2:8" ht="12.75">
      <c r="B90" s="5">
        <f t="shared" si="18"/>
        <v>79</v>
      </c>
      <c r="C90" s="109"/>
      <c r="D90" s="110"/>
      <c r="E90" s="111"/>
      <c r="F90" s="112"/>
      <c r="G90" s="6">
        <f t="shared" si="16"/>
      </c>
      <c r="H90" s="6">
        <f t="shared" si="17"/>
      </c>
    </row>
    <row r="91" spans="2:8" ht="12.75">
      <c r="B91" s="5">
        <f t="shared" si="18"/>
        <v>80</v>
      </c>
      <c r="C91" s="109"/>
      <c r="D91" s="110"/>
      <c r="E91" s="111"/>
      <c r="F91" s="112"/>
      <c r="G91" s="6">
        <f t="shared" si="16"/>
      </c>
      <c r="H91" s="6">
        <f t="shared" si="17"/>
      </c>
    </row>
    <row r="92" spans="2:8" ht="12.75">
      <c r="B92" s="5">
        <f t="shared" si="18"/>
        <v>81</v>
      </c>
      <c r="C92" s="109"/>
      <c r="D92" s="110"/>
      <c r="E92" s="111"/>
      <c r="F92" s="112"/>
      <c r="G92" s="6">
        <f aca="true" t="shared" si="19" ref="G92:G107">IF(D92&lt;&gt;0,+E92/100*D92/6.25,"")</f>
      </c>
      <c r="H92" s="6">
        <f aca="true" t="shared" si="20" ref="H92:H107">IF(E92&lt;&gt;0,+F92/100*D92,"")</f>
      </c>
    </row>
    <row r="93" spans="2:8" ht="12.75">
      <c r="B93" s="5">
        <f t="shared" si="18"/>
        <v>82</v>
      </c>
      <c r="C93" s="109"/>
      <c r="D93" s="110"/>
      <c r="E93" s="111"/>
      <c r="F93" s="112"/>
      <c r="G93" s="6">
        <f t="shared" si="19"/>
      </c>
      <c r="H93" s="6">
        <f t="shared" si="20"/>
      </c>
    </row>
    <row r="94" spans="2:8" ht="12.75">
      <c r="B94" s="5">
        <f aca="true" t="shared" si="21" ref="B94:B111">+B93+1</f>
        <v>83</v>
      </c>
      <c r="C94" s="109"/>
      <c r="D94" s="110"/>
      <c r="E94" s="111"/>
      <c r="F94" s="112"/>
      <c r="G94" s="6">
        <f t="shared" si="19"/>
      </c>
      <c r="H94" s="6">
        <f t="shared" si="20"/>
      </c>
    </row>
    <row r="95" spans="2:8" ht="12.75">
      <c r="B95" s="5">
        <f t="shared" si="21"/>
        <v>84</v>
      </c>
      <c r="C95" s="109"/>
      <c r="D95" s="110"/>
      <c r="E95" s="111"/>
      <c r="F95" s="112"/>
      <c r="G95" s="6">
        <f t="shared" si="19"/>
      </c>
      <c r="H95" s="6">
        <f t="shared" si="20"/>
      </c>
    </row>
    <row r="96" spans="2:8" ht="12.75">
      <c r="B96" s="5">
        <f t="shared" si="21"/>
        <v>85</v>
      </c>
      <c r="C96" s="109"/>
      <c r="D96" s="110"/>
      <c r="E96" s="111"/>
      <c r="F96" s="112"/>
      <c r="G96" s="6">
        <f t="shared" si="19"/>
      </c>
      <c r="H96" s="6">
        <f t="shared" si="20"/>
      </c>
    </row>
    <row r="97" spans="2:8" ht="12.75">
      <c r="B97" s="5">
        <f t="shared" si="21"/>
        <v>86</v>
      </c>
      <c r="C97" s="109"/>
      <c r="D97" s="110"/>
      <c r="E97" s="111"/>
      <c r="F97" s="112"/>
      <c r="G97" s="6">
        <f t="shared" si="19"/>
      </c>
      <c r="H97" s="6">
        <f t="shared" si="20"/>
      </c>
    </row>
    <row r="98" spans="2:8" ht="12.75">
      <c r="B98" s="5">
        <f t="shared" si="21"/>
        <v>87</v>
      </c>
      <c r="C98" s="109"/>
      <c r="D98" s="110"/>
      <c r="E98" s="111"/>
      <c r="F98" s="112"/>
      <c r="G98" s="6">
        <f t="shared" si="19"/>
      </c>
      <c r="H98" s="6">
        <f t="shared" si="20"/>
      </c>
    </row>
    <row r="99" spans="2:8" ht="12.75">
      <c r="B99" s="5">
        <f t="shared" si="21"/>
        <v>88</v>
      </c>
      <c r="C99" s="109"/>
      <c r="D99" s="110"/>
      <c r="E99" s="111"/>
      <c r="F99" s="112"/>
      <c r="G99" s="6">
        <f t="shared" si="19"/>
      </c>
      <c r="H99" s="6">
        <f t="shared" si="20"/>
      </c>
    </row>
    <row r="100" spans="2:8" ht="12.75">
      <c r="B100" s="5">
        <f t="shared" si="21"/>
        <v>89</v>
      </c>
      <c r="C100" s="109"/>
      <c r="D100" s="110"/>
      <c r="E100" s="111"/>
      <c r="F100" s="112"/>
      <c r="G100" s="6">
        <f t="shared" si="19"/>
      </c>
      <c r="H100" s="6">
        <f t="shared" si="20"/>
      </c>
    </row>
    <row r="101" spans="2:8" ht="12.75">
      <c r="B101" s="5">
        <f t="shared" si="21"/>
        <v>90</v>
      </c>
      <c r="C101" s="109"/>
      <c r="D101" s="110"/>
      <c r="E101" s="111"/>
      <c r="F101" s="112"/>
      <c r="G101" s="6">
        <f t="shared" si="19"/>
      </c>
      <c r="H101" s="6">
        <f t="shared" si="20"/>
      </c>
    </row>
    <row r="102" spans="2:8" ht="12.75">
      <c r="B102" s="5">
        <f t="shared" si="21"/>
        <v>91</v>
      </c>
      <c r="C102" s="109"/>
      <c r="D102" s="110"/>
      <c r="E102" s="111"/>
      <c r="F102" s="112"/>
      <c r="G102" s="6">
        <f t="shared" si="19"/>
      </c>
      <c r="H102" s="6">
        <f t="shared" si="20"/>
      </c>
    </row>
    <row r="103" spans="2:8" ht="12.75">
      <c r="B103" s="5">
        <f t="shared" si="21"/>
        <v>92</v>
      </c>
      <c r="C103" s="109"/>
      <c r="D103" s="110"/>
      <c r="E103" s="111"/>
      <c r="F103" s="112"/>
      <c r="G103" s="6">
        <f t="shared" si="19"/>
      </c>
      <c r="H103" s="6">
        <f t="shared" si="20"/>
      </c>
    </row>
    <row r="104" spans="2:8" ht="12.75">
      <c r="B104" s="5">
        <f t="shared" si="21"/>
        <v>93</v>
      </c>
      <c r="C104" s="109"/>
      <c r="D104" s="110"/>
      <c r="E104" s="111"/>
      <c r="F104" s="112"/>
      <c r="G104" s="6">
        <f t="shared" si="19"/>
      </c>
      <c r="H104" s="6">
        <f t="shared" si="20"/>
      </c>
    </row>
    <row r="105" spans="2:8" ht="12.75">
      <c r="B105" s="5">
        <f t="shared" si="21"/>
        <v>94</v>
      </c>
      <c r="C105" s="109"/>
      <c r="D105" s="110"/>
      <c r="E105" s="111"/>
      <c r="F105" s="112"/>
      <c r="G105" s="6">
        <f t="shared" si="19"/>
      </c>
      <c r="H105" s="6">
        <f t="shared" si="20"/>
      </c>
    </row>
    <row r="106" spans="2:8" ht="12.75">
      <c r="B106" s="5">
        <f t="shared" si="21"/>
        <v>95</v>
      </c>
      <c r="C106" s="109"/>
      <c r="D106" s="110"/>
      <c r="E106" s="111"/>
      <c r="F106" s="112"/>
      <c r="G106" s="6">
        <f t="shared" si="19"/>
      </c>
      <c r="H106" s="6">
        <f t="shared" si="20"/>
      </c>
    </row>
    <row r="107" spans="2:8" ht="12.75">
      <c r="B107" s="5">
        <f t="shared" si="21"/>
        <v>96</v>
      </c>
      <c r="C107" s="109"/>
      <c r="D107" s="110"/>
      <c r="E107" s="111"/>
      <c r="F107" s="112"/>
      <c r="G107" s="6">
        <f t="shared" si="19"/>
      </c>
      <c r="H107" s="6">
        <f t="shared" si="20"/>
      </c>
    </row>
    <row r="108" spans="2:8" ht="12.75">
      <c r="B108" s="5">
        <f t="shared" si="21"/>
        <v>97</v>
      </c>
      <c r="C108" s="109"/>
      <c r="D108" s="110"/>
      <c r="E108" s="111"/>
      <c r="F108" s="112"/>
      <c r="G108" s="6">
        <f>IF(D108&lt;&gt;0,+E108/100*D108/6.25,"")</f>
      </c>
      <c r="H108" s="6">
        <f>IF(E108&lt;&gt;0,+F108/100*D108,"")</f>
      </c>
    </row>
    <row r="109" spans="2:8" ht="12.75">
      <c r="B109" s="5">
        <f t="shared" si="21"/>
        <v>98</v>
      </c>
      <c r="C109" s="109"/>
      <c r="D109" s="110"/>
      <c r="E109" s="111"/>
      <c r="F109" s="112"/>
      <c r="G109" s="6">
        <f>IF(D109&lt;&gt;0,+E109/100*D109/6.25,"")</f>
      </c>
      <c r="H109" s="6">
        <f>IF(E109&lt;&gt;0,+F109/100*D109,"")</f>
      </c>
    </row>
    <row r="110" spans="2:8" ht="12.75">
      <c r="B110" s="5">
        <f>+B109+1</f>
        <v>99</v>
      </c>
      <c r="C110" s="109"/>
      <c r="D110" s="110"/>
      <c r="E110" s="111"/>
      <c r="F110" s="112"/>
      <c r="G110" s="6">
        <f>IF(D110&lt;&gt;0,+E110/100*D110/6.25,"")</f>
      </c>
      <c r="H110" s="6">
        <f>IF(E110&lt;&gt;0,+F110/100*D110,"")</f>
      </c>
    </row>
    <row r="111" spans="2:8" ht="12.75">
      <c r="B111" s="5">
        <f t="shared" si="21"/>
        <v>100</v>
      </c>
      <c r="C111" s="109"/>
      <c r="D111" s="110"/>
      <c r="E111" s="111"/>
      <c r="F111" s="112"/>
      <c r="G111" s="6">
        <f>IF(D111&lt;&gt;0,+E111/100*D111/6.25,"")</f>
      </c>
      <c r="H111" s="6">
        <f>IF(E111&lt;&gt;0,+F111/100*D111,"")</f>
      </c>
    </row>
  </sheetData>
  <sheetProtection password="DC87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&amp;L&amp;"Arial,Gras"Estimation des rejets d'azote et de phosphore&amp;RCorpen
</oddHeader>
    <oddFooter>&amp;R&amp;F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111"/>
  <sheetViews>
    <sheetView showGridLines="0" showRowColHeaders="0" showZeros="0" showOutlineSymbols="0" zoomScale="80" zoomScaleNormal="80" workbookViewId="0" topLeftCell="A1">
      <pane ySplit="11" topLeftCell="BM12" activePane="bottomLeft" state="frozen"/>
      <selection pane="topLeft" activeCell="B8" sqref="B8"/>
      <selection pane="bottomLeft" activeCell="B8" sqref="B8"/>
    </sheetView>
  </sheetViews>
  <sheetFormatPr defaultColWidth="11.421875" defaultRowHeight="12.75"/>
  <cols>
    <col min="1" max="1" width="3.8515625" style="0" customWidth="1"/>
    <col min="2" max="2" width="4.00390625" style="0" customWidth="1"/>
    <col min="3" max="3" width="27.8515625" style="0" customWidth="1"/>
  </cols>
  <sheetData>
    <row r="1" spans="2:8" ht="12.75">
      <c r="B1" s="54"/>
      <c r="C1" s="54"/>
      <c r="D1" s="54"/>
      <c r="E1" s="54"/>
      <c r="F1" s="54"/>
      <c r="G1" s="54"/>
      <c r="H1" s="54"/>
    </row>
    <row r="2" spans="2:7" ht="12.75">
      <c r="B2" s="54"/>
      <c r="C2" s="51" t="s">
        <v>15</v>
      </c>
      <c r="D2" s="135">
        <f>IF(Elevage!C2&lt;&gt;0,Elevage!C2,"")</f>
      </c>
      <c r="E2" s="29"/>
      <c r="F2" s="29"/>
      <c r="G2" s="30"/>
    </row>
    <row r="3" spans="2:7" ht="12.75">
      <c r="B3" s="54"/>
      <c r="C3" s="52" t="s">
        <v>16</v>
      </c>
      <c r="D3" s="8">
        <f>IF(Elevage!D3&lt;&gt;0,Elevage!D3,"")</f>
      </c>
      <c r="E3" s="54"/>
      <c r="F3" s="54"/>
      <c r="G3" s="31"/>
    </row>
    <row r="4" spans="2:7" ht="12.75">
      <c r="B4" s="54"/>
      <c r="C4" s="52"/>
      <c r="D4" s="8">
        <f>IF(Elevage!C4&lt;&gt;0,Elevage!C4,"")</f>
      </c>
      <c r="E4" s="54"/>
      <c r="F4" s="54"/>
      <c r="G4" s="31"/>
    </row>
    <row r="5" spans="2:7" ht="12.75">
      <c r="B5" s="54"/>
      <c r="C5" s="53"/>
      <c r="D5" s="136">
        <f>IF(Elevage!C5&lt;&gt;0,Elevage!C5,"")</f>
      </c>
      <c r="E5" s="32"/>
      <c r="F5" s="32"/>
      <c r="G5" s="16"/>
    </row>
    <row r="6" spans="2:8" ht="12.75">
      <c r="B6" s="54"/>
      <c r="C6" s="54"/>
      <c r="D6" s="54"/>
      <c r="E6" s="54"/>
      <c r="F6" s="54"/>
      <c r="G6" s="54"/>
      <c r="H6" s="54"/>
    </row>
    <row r="7" spans="2:8" ht="12.75">
      <c r="B7" s="54"/>
      <c r="C7" s="55" t="s">
        <v>77</v>
      </c>
      <c r="D7" s="9">
        <f>Elevage!J12</f>
        <v>37986</v>
      </c>
      <c r="E7" s="54"/>
      <c r="F7" s="54"/>
      <c r="G7" s="54"/>
      <c r="H7" s="54"/>
    </row>
    <row r="8" spans="2:8" ht="12.75">
      <c r="B8" s="54"/>
      <c r="C8" s="54"/>
      <c r="D8" s="54"/>
      <c r="E8" s="54"/>
      <c r="F8" s="54"/>
      <c r="G8" s="54"/>
      <c r="H8" s="54"/>
    </row>
    <row r="9" spans="2:8" ht="12.75">
      <c r="B9" s="54"/>
      <c r="C9" s="54"/>
      <c r="D9" s="17" t="s">
        <v>70</v>
      </c>
      <c r="E9" s="58" t="s">
        <v>71</v>
      </c>
      <c r="F9" s="58" t="s">
        <v>72</v>
      </c>
      <c r="G9" s="58" t="s">
        <v>73</v>
      </c>
      <c r="H9" s="58" t="s">
        <v>72</v>
      </c>
    </row>
    <row r="10" spans="2:8" ht="12.75">
      <c r="B10" s="54"/>
      <c r="C10" s="16"/>
      <c r="D10" s="18" t="s">
        <v>54</v>
      </c>
      <c r="E10" s="59" t="s">
        <v>74</v>
      </c>
      <c r="F10" s="59" t="s">
        <v>74</v>
      </c>
      <c r="G10" s="59" t="s">
        <v>54</v>
      </c>
      <c r="H10" s="59" t="s">
        <v>75</v>
      </c>
    </row>
    <row r="11" spans="2:8" ht="12.75">
      <c r="B11" s="54"/>
      <c r="C11" s="57" t="s">
        <v>76</v>
      </c>
      <c r="D11" s="19">
        <f>D12+D22+D32</f>
        <v>0</v>
      </c>
      <c r="E11" s="20">
        <f>IF(D11&lt;&gt;0,G11*6.25/D11*100,"")</f>
      </c>
      <c r="F11" s="21">
        <f>IF(D11&lt;&gt;0,H11/D11*100,"")</f>
      </c>
      <c r="G11" s="19">
        <f>G12+G22+G32</f>
        <v>0</v>
      </c>
      <c r="H11" s="19">
        <f>H12+H22+H32</f>
        <v>0</v>
      </c>
    </row>
    <row r="12" spans="2:8" ht="12.75">
      <c r="B12" s="5">
        <v>1</v>
      </c>
      <c r="C12" s="161" t="s">
        <v>44</v>
      </c>
      <c r="D12" s="162">
        <f>SUM(D13:D20)</f>
        <v>0</v>
      </c>
      <c r="E12" s="163">
        <f>IF(D12&lt;&gt;0,G12*6.25/D12*100,"")</f>
      </c>
      <c r="F12" s="164">
        <f>IF(D12&lt;&gt;0,H12/D12*100,"")</f>
      </c>
      <c r="G12" s="156">
        <f>SUM(G13:G21)</f>
        <v>0</v>
      </c>
      <c r="H12" s="156">
        <f>SUM(H13:H21)</f>
        <v>0</v>
      </c>
    </row>
    <row r="13" spans="2:8" ht="12.75">
      <c r="B13" s="5">
        <f>+B12+1</f>
        <v>2</v>
      </c>
      <c r="C13" s="109" t="s">
        <v>223</v>
      </c>
      <c r="D13" s="110"/>
      <c r="E13" s="111">
        <v>13.5</v>
      </c>
      <c r="F13" s="112">
        <v>0.6218</v>
      </c>
      <c r="G13" s="6">
        <f>IF(E13&lt;&gt;0,+E13/100*D13/6.25,"")</f>
        <v>0</v>
      </c>
      <c r="H13" s="6">
        <f>IF(F13&lt;&gt;0,+F13/100*D13,"")</f>
        <v>0</v>
      </c>
    </row>
    <row r="14" spans="2:8" ht="12.75">
      <c r="B14" s="5">
        <f aca="true" t="shared" si="0" ref="B14:B29">+B13+1</f>
        <v>3</v>
      </c>
      <c r="C14" s="109" t="s">
        <v>185</v>
      </c>
      <c r="D14" s="110"/>
      <c r="E14" s="111">
        <v>17</v>
      </c>
      <c r="F14" s="112">
        <v>0.74</v>
      </c>
      <c r="G14" s="6">
        <f aca="true" t="shared" si="1" ref="G14:G21">IF(E14&lt;&gt;0,+E14/100*D14/6.25,"")</f>
        <v>0</v>
      </c>
      <c r="H14" s="6">
        <f aca="true" t="shared" si="2" ref="H14:H21">IF(F14&lt;&gt;0,+F14/100*D14,"")</f>
        <v>0</v>
      </c>
    </row>
    <row r="15" spans="2:8" ht="12.75">
      <c r="B15" s="5">
        <f t="shared" si="0"/>
        <v>4</v>
      </c>
      <c r="C15" s="109"/>
      <c r="D15" s="110">
        <v>0</v>
      </c>
      <c r="E15" s="111"/>
      <c r="F15" s="112"/>
      <c r="G15" s="6">
        <f t="shared" si="1"/>
      </c>
      <c r="H15" s="6">
        <f t="shared" si="2"/>
      </c>
    </row>
    <row r="16" spans="2:8" ht="12.75">
      <c r="B16" s="5">
        <f t="shared" si="0"/>
        <v>5</v>
      </c>
      <c r="C16" s="109"/>
      <c r="D16" s="110">
        <v>0</v>
      </c>
      <c r="E16" s="111"/>
      <c r="F16" s="112"/>
      <c r="G16" s="6">
        <f t="shared" si="1"/>
      </c>
      <c r="H16" s="6">
        <f t="shared" si="2"/>
      </c>
    </row>
    <row r="17" spans="2:8" ht="12.75">
      <c r="B17" s="5">
        <f t="shared" si="0"/>
        <v>6</v>
      </c>
      <c r="C17" s="109"/>
      <c r="D17" s="110"/>
      <c r="E17" s="111"/>
      <c r="F17" s="112"/>
      <c r="G17" s="6">
        <f t="shared" si="1"/>
      </c>
      <c r="H17" s="6">
        <f t="shared" si="2"/>
      </c>
    </row>
    <row r="18" spans="2:8" ht="12.75">
      <c r="B18" s="5">
        <f t="shared" si="0"/>
        <v>7</v>
      </c>
      <c r="C18" s="109"/>
      <c r="D18" s="110"/>
      <c r="E18" s="111"/>
      <c r="F18" s="112"/>
      <c r="G18" s="6">
        <f t="shared" si="1"/>
      </c>
      <c r="H18" s="6">
        <f t="shared" si="2"/>
      </c>
    </row>
    <row r="19" spans="2:8" ht="12.75">
      <c r="B19" s="5">
        <f t="shared" si="0"/>
        <v>8</v>
      </c>
      <c r="C19" s="109"/>
      <c r="D19" s="110"/>
      <c r="E19" s="111"/>
      <c r="F19" s="112"/>
      <c r="G19" s="6">
        <f t="shared" si="1"/>
      </c>
      <c r="H19" s="6">
        <f t="shared" si="2"/>
      </c>
    </row>
    <row r="20" spans="2:8" ht="12.75">
      <c r="B20" s="5">
        <f t="shared" si="0"/>
        <v>9</v>
      </c>
      <c r="C20" s="109"/>
      <c r="D20" s="110"/>
      <c r="E20" s="111"/>
      <c r="F20" s="112"/>
      <c r="G20" s="6">
        <f t="shared" si="1"/>
      </c>
      <c r="H20" s="6">
        <f t="shared" si="2"/>
      </c>
    </row>
    <row r="21" spans="2:8" ht="12.75">
      <c r="B21" s="5">
        <f t="shared" si="0"/>
        <v>10</v>
      </c>
      <c r="C21" s="109" t="s">
        <v>227</v>
      </c>
      <c r="D21" s="110"/>
      <c r="E21" s="111"/>
      <c r="F21" s="112"/>
      <c r="G21" s="6">
        <f t="shared" si="1"/>
      </c>
      <c r="H21" s="6">
        <f t="shared" si="2"/>
      </c>
    </row>
    <row r="22" spans="2:8" ht="12.75">
      <c r="B22" s="5">
        <f t="shared" si="0"/>
        <v>11</v>
      </c>
      <c r="C22" s="161" t="s">
        <v>147</v>
      </c>
      <c r="D22" s="162">
        <f>SUM(D23:D30)</f>
        <v>0</v>
      </c>
      <c r="E22" s="163">
        <f>IF(D22&lt;&gt;0,G22*6.25/D22*100,"")</f>
      </c>
      <c r="F22" s="164">
        <f>IF(D22&lt;&gt;0,H22/D22*100,"")</f>
      </c>
      <c r="G22" s="156">
        <f>SUM(G23:G31)</f>
        <v>0</v>
      </c>
      <c r="H22" s="156">
        <f>SUM(H23:H31)</f>
        <v>0</v>
      </c>
    </row>
    <row r="23" spans="2:8" ht="12.75">
      <c r="B23" s="5">
        <f t="shared" si="0"/>
        <v>12</v>
      </c>
      <c r="C23" s="109" t="s">
        <v>292</v>
      </c>
      <c r="D23" s="110"/>
      <c r="E23" s="111">
        <v>22</v>
      </c>
      <c r="F23" s="112">
        <v>0.6755</v>
      </c>
      <c r="G23" s="6">
        <f aca="true" t="shared" si="3" ref="G23:G31">IF(E23&lt;&gt;0,+E23/100*D23/6.25,"")</f>
        <v>0</v>
      </c>
      <c r="H23" s="6">
        <f aca="true" t="shared" si="4" ref="H23:H31">IF(F23&lt;&gt;0,+F23/100*D23,"")</f>
        <v>0</v>
      </c>
    </row>
    <row r="24" spans="2:8" ht="12.75">
      <c r="B24" s="5">
        <f t="shared" si="0"/>
        <v>13</v>
      </c>
      <c r="C24" s="109" t="s">
        <v>193</v>
      </c>
      <c r="D24" s="110"/>
      <c r="E24" s="111">
        <v>21.5</v>
      </c>
      <c r="F24" s="112">
        <v>0.7</v>
      </c>
      <c r="G24" s="6">
        <f t="shared" si="3"/>
        <v>0</v>
      </c>
      <c r="H24" s="6">
        <f t="shared" si="4"/>
        <v>0</v>
      </c>
    </row>
    <row r="25" spans="2:8" ht="12.75">
      <c r="B25" s="5">
        <f t="shared" si="0"/>
        <v>14</v>
      </c>
      <c r="C25" s="109" t="s">
        <v>194</v>
      </c>
      <c r="D25" s="110"/>
      <c r="E25" s="111">
        <v>18.7</v>
      </c>
      <c r="F25" s="112">
        <v>0.66</v>
      </c>
      <c r="G25" s="6">
        <f t="shared" si="3"/>
        <v>0</v>
      </c>
      <c r="H25" s="6">
        <f t="shared" si="4"/>
        <v>0</v>
      </c>
    </row>
    <row r="26" spans="2:8" ht="12.75">
      <c r="B26" s="5">
        <f t="shared" si="0"/>
        <v>15</v>
      </c>
      <c r="C26" s="109" t="s">
        <v>195</v>
      </c>
      <c r="D26" s="110"/>
      <c r="E26" s="111">
        <v>19</v>
      </c>
      <c r="F26" s="112">
        <v>0.61</v>
      </c>
      <c r="G26" s="6">
        <f t="shared" si="3"/>
        <v>0</v>
      </c>
      <c r="H26" s="6">
        <f t="shared" si="4"/>
        <v>0</v>
      </c>
    </row>
    <row r="27" spans="2:8" ht="12.75">
      <c r="B27" s="5">
        <f t="shared" si="0"/>
        <v>16</v>
      </c>
      <c r="C27" s="109"/>
      <c r="D27" s="110"/>
      <c r="E27" s="111"/>
      <c r="F27" s="112"/>
      <c r="G27" s="6">
        <f t="shared" si="3"/>
      </c>
      <c r="H27" s="6">
        <f t="shared" si="4"/>
      </c>
    </row>
    <row r="28" spans="2:8" ht="12.75">
      <c r="B28" s="5">
        <f t="shared" si="0"/>
        <v>17</v>
      </c>
      <c r="C28" s="109"/>
      <c r="D28" s="110">
        <v>0</v>
      </c>
      <c r="E28" s="111">
        <v>0</v>
      </c>
      <c r="F28" s="112">
        <v>0</v>
      </c>
      <c r="G28" s="6">
        <f t="shared" si="3"/>
      </c>
      <c r="H28" s="6">
        <f t="shared" si="4"/>
      </c>
    </row>
    <row r="29" spans="2:8" ht="12.75">
      <c r="B29" s="5">
        <f t="shared" si="0"/>
        <v>18</v>
      </c>
      <c r="C29" s="109"/>
      <c r="D29" s="110"/>
      <c r="E29" s="111"/>
      <c r="F29" s="112"/>
      <c r="G29" s="6">
        <f t="shared" si="3"/>
      </c>
      <c r="H29" s="6">
        <f t="shared" si="4"/>
      </c>
    </row>
    <row r="30" spans="2:8" ht="12.75">
      <c r="B30" s="5">
        <f aca="true" t="shared" si="5" ref="B30:B45">+B29+1</f>
        <v>19</v>
      </c>
      <c r="C30" s="109"/>
      <c r="D30" s="110"/>
      <c r="E30" s="111"/>
      <c r="F30" s="112"/>
      <c r="G30" s="6">
        <f t="shared" si="3"/>
      </c>
      <c r="H30" s="6">
        <f t="shared" si="4"/>
      </c>
    </row>
    <row r="31" spans="2:8" ht="12.75">
      <c r="B31" s="5">
        <f t="shared" si="5"/>
        <v>20</v>
      </c>
      <c r="C31" s="109" t="s">
        <v>227</v>
      </c>
      <c r="D31" s="110"/>
      <c r="E31" s="111"/>
      <c r="F31" s="112"/>
      <c r="G31" s="6">
        <f t="shared" si="3"/>
      </c>
      <c r="H31" s="6">
        <f t="shared" si="4"/>
      </c>
    </row>
    <row r="32" spans="2:8" ht="12.75">
      <c r="B32" s="5">
        <f t="shared" si="5"/>
        <v>21</v>
      </c>
      <c r="C32" s="161" t="s">
        <v>148</v>
      </c>
      <c r="D32" s="162">
        <f>SUM(D33:D49)</f>
        <v>0</v>
      </c>
      <c r="E32" s="163">
        <f>IF(D32&lt;&gt;0,G32*6.25/D32*100,"")</f>
      </c>
      <c r="F32" s="164">
        <f>IF(D32&lt;&gt;0,H32/D32*100,"")</f>
      </c>
      <c r="G32" s="156">
        <f>SUM(G33:G50)</f>
        <v>0</v>
      </c>
      <c r="H32" s="156">
        <f>SUM(H33:H50)</f>
        <v>0</v>
      </c>
    </row>
    <row r="33" spans="2:8" ht="12.75">
      <c r="B33" s="5">
        <f t="shared" si="5"/>
        <v>22</v>
      </c>
      <c r="C33" s="109" t="s">
        <v>224</v>
      </c>
      <c r="D33" s="110"/>
      <c r="E33" s="111">
        <v>18</v>
      </c>
      <c r="F33" s="112">
        <v>0.6</v>
      </c>
      <c r="G33" s="6">
        <f aca="true" t="shared" si="6" ref="G33:G41">IF(E33&lt;&gt;0,+E33/100*D33/6.25,"")</f>
        <v>0</v>
      </c>
      <c r="H33" s="6">
        <f aca="true" t="shared" si="7" ref="H33:H41">IF(F33&lt;&gt;0,+F33/100*D33,"")</f>
        <v>0</v>
      </c>
    </row>
    <row r="34" spans="2:8" ht="12.75">
      <c r="B34" s="5">
        <f t="shared" si="5"/>
        <v>23</v>
      </c>
      <c r="C34" s="109" t="s">
        <v>225</v>
      </c>
      <c r="D34" s="110"/>
      <c r="E34" s="111">
        <v>16.6</v>
      </c>
      <c r="F34" s="112">
        <v>0.5</v>
      </c>
      <c r="G34" s="6">
        <f t="shared" si="6"/>
        <v>0</v>
      </c>
      <c r="H34" s="6">
        <f t="shared" si="7"/>
        <v>0</v>
      </c>
    </row>
    <row r="35" spans="2:8" ht="12.75">
      <c r="B35" s="5">
        <f t="shared" si="5"/>
        <v>24</v>
      </c>
      <c r="C35" s="109" t="s">
        <v>226</v>
      </c>
      <c r="D35" s="110"/>
      <c r="E35" s="111">
        <v>14.5</v>
      </c>
      <c r="F35" s="112">
        <v>0.45</v>
      </c>
      <c r="G35" s="6">
        <f t="shared" si="6"/>
        <v>0</v>
      </c>
      <c r="H35" s="6">
        <f t="shared" si="7"/>
        <v>0</v>
      </c>
    </row>
    <row r="36" spans="2:8" ht="12.75">
      <c r="B36" s="5">
        <f t="shared" si="5"/>
        <v>25</v>
      </c>
      <c r="C36" s="109"/>
      <c r="D36" s="110"/>
      <c r="E36" s="111"/>
      <c r="F36" s="112"/>
      <c r="G36" s="6">
        <f t="shared" si="6"/>
      </c>
      <c r="H36" s="6">
        <f t="shared" si="7"/>
      </c>
    </row>
    <row r="37" spans="2:8" ht="12.75">
      <c r="B37" s="5">
        <f t="shared" si="5"/>
        <v>26</v>
      </c>
      <c r="C37" s="109"/>
      <c r="D37" s="110"/>
      <c r="E37" s="111"/>
      <c r="F37" s="112"/>
      <c r="G37" s="6">
        <f t="shared" si="6"/>
      </c>
      <c r="H37" s="6">
        <f t="shared" si="7"/>
      </c>
    </row>
    <row r="38" spans="2:8" ht="12.75">
      <c r="B38" s="5">
        <f t="shared" si="5"/>
        <v>27</v>
      </c>
      <c r="C38" s="109"/>
      <c r="D38" s="110"/>
      <c r="E38" s="111"/>
      <c r="F38" s="112"/>
      <c r="G38" s="6">
        <f t="shared" si="6"/>
      </c>
      <c r="H38" s="6">
        <f t="shared" si="7"/>
      </c>
    </row>
    <row r="39" spans="2:8" ht="12.75">
      <c r="B39" s="5">
        <f t="shared" si="5"/>
        <v>28</v>
      </c>
      <c r="C39" s="109"/>
      <c r="D39" s="110"/>
      <c r="E39" s="111"/>
      <c r="F39" s="112"/>
      <c r="G39" s="6">
        <f t="shared" si="6"/>
      </c>
      <c r="H39" s="6">
        <f t="shared" si="7"/>
      </c>
    </row>
    <row r="40" spans="2:8" ht="12.75">
      <c r="B40" s="5">
        <f t="shared" si="5"/>
        <v>29</v>
      </c>
      <c r="C40" s="109"/>
      <c r="D40" s="110"/>
      <c r="E40" s="111"/>
      <c r="F40" s="112"/>
      <c r="G40" s="6">
        <f t="shared" si="6"/>
      </c>
      <c r="H40" s="6">
        <f t="shared" si="7"/>
      </c>
    </row>
    <row r="41" spans="2:8" ht="12.75">
      <c r="B41" s="5">
        <f t="shared" si="5"/>
        <v>30</v>
      </c>
      <c r="C41" s="109"/>
      <c r="D41" s="256"/>
      <c r="E41" s="111"/>
      <c r="F41" s="257"/>
      <c r="G41" s="6">
        <f t="shared" si="6"/>
      </c>
      <c r="H41" s="6">
        <f t="shared" si="7"/>
      </c>
    </row>
    <row r="42" spans="2:8" ht="12.75">
      <c r="B42" s="5">
        <f t="shared" si="5"/>
        <v>31</v>
      </c>
      <c r="C42" s="109"/>
      <c r="D42" s="110"/>
      <c r="E42" s="111"/>
      <c r="F42" s="112"/>
      <c r="G42" s="6">
        <f>IF(E42&lt;&gt;0,+E42/100*D42/6.25,"")</f>
      </c>
      <c r="H42" s="6">
        <f>IF(F42&lt;&gt;0,+F42/100*D42,"")</f>
      </c>
    </row>
    <row r="43" spans="2:8" ht="12.75">
      <c r="B43" s="5">
        <f t="shared" si="5"/>
        <v>32</v>
      </c>
      <c r="C43" s="109"/>
      <c r="D43" s="110"/>
      <c r="E43" s="111"/>
      <c r="F43" s="112"/>
      <c r="G43" s="6">
        <f aca="true" t="shared" si="8" ref="G43:G50">IF(E43&lt;&gt;0,+E43/100*D43/6.25,"")</f>
      </c>
      <c r="H43" s="6">
        <f aca="true" t="shared" si="9" ref="H43:H50">IF(F43&lt;&gt;0,+F43/100*D43,"")</f>
      </c>
    </row>
    <row r="44" spans="2:8" ht="12.75">
      <c r="B44" s="5">
        <f t="shared" si="5"/>
        <v>33</v>
      </c>
      <c r="C44" s="109"/>
      <c r="D44" s="110"/>
      <c r="E44" s="111"/>
      <c r="F44" s="112"/>
      <c r="G44" s="6">
        <f t="shared" si="8"/>
      </c>
      <c r="H44" s="6">
        <f t="shared" si="9"/>
      </c>
    </row>
    <row r="45" spans="2:8" ht="12.75">
      <c r="B45" s="5">
        <f t="shared" si="5"/>
        <v>34</v>
      </c>
      <c r="C45" s="109"/>
      <c r="D45" s="110"/>
      <c r="E45" s="111"/>
      <c r="F45" s="112"/>
      <c r="G45" s="6">
        <f t="shared" si="8"/>
      </c>
      <c r="H45" s="6">
        <f t="shared" si="9"/>
      </c>
    </row>
    <row r="46" spans="2:8" ht="12.75">
      <c r="B46" s="5">
        <f aca="true" t="shared" si="10" ref="B46:B61">+B45+1</f>
        <v>35</v>
      </c>
      <c r="C46" s="109"/>
      <c r="D46" s="110"/>
      <c r="E46" s="111"/>
      <c r="F46" s="112"/>
      <c r="G46" s="6">
        <f t="shared" si="8"/>
      </c>
      <c r="H46" s="6">
        <f t="shared" si="9"/>
      </c>
    </row>
    <row r="47" spans="2:8" ht="12.75">
      <c r="B47" s="5">
        <f t="shared" si="10"/>
        <v>36</v>
      </c>
      <c r="C47" s="109"/>
      <c r="D47" s="110"/>
      <c r="E47" s="111"/>
      <c r="F47" s="112"/>
      <c r="G47" s="6">
        <f t="shared" si="8"/>
      </c>
      <c r="H47" s="6">
        <f t="shared" si="9"/>
      </c>
    </row>
    <row r="48" spans="2:8" ht="12.75">
      <c r="B48" s="5">
        <f t="shared" si="10"/>
        <v>37</v>
      </c>
      <c r="C48" s="109"/>
      <c r="D48" s="110"/>
      <c r="E48" s="111"/>
      <c r="F48" s="112"/>
      <c r="G48" s="6">
        <f t="shared" si="8"/>
      </c>
      <c r="H48" s="6">
        <f t="shared" si="9"/>
      </c>
    </row>
    <row r="49" spans="2:8" ht="12.75">
      <c r="B49" s="5">
        <f t="shared" si="10"/>
        <v>38</v>
      </c>
      <c r="C49" s="109"/>
      <c r="D49" s="110"/>
      <c r="E49" s="111"/>
      <c r="F49" s="112"/>
      <c r="G49" s="6">
        <f t="shared" si="8"/>
      </c>
      <c r="H49" s="6">
        <f t="shared" si="9"/>
      </c>
    </row>
    <row r="50" spans="2:8" ht="12.75">
      <c r="B50" s="5">
        <f t="shared" si="10"/>
        <v>39</v>
      </c>
      <c r="C50" s="157" t="s">
        <v>227</v>
      </c>
      <c r="D50" s="158"/>
      <c r="E50" s="159"/>
      <c r="F50" s="160"/>
      <c r="G50" s="7">
        <f t="shared" si="8"/>
      </c>
      <c r="H50" s="7">
        <f t="shared" si="9"/>
      </c>
    </row>
    <row r="51" spans="2:8" ht="12.75">
      <c r="B51" s="5">
        <f t="shared" si="10"/>
        <v>40</v>
      </c>
      <c r="C51" s="109"/>
      <c r="D51" s="110"/>
      <c r="E51" s="111"/>
      <c r="F51" s="112"/>
      <c r="G51" s="6">
        <f aca="true" t="shared" si="11" ref="G51:G59">IF(D51&lt;&gt;0,+E51/100*D51/6.25,"")</f>
      </c>
      <c r="H51" s="6">
        <f aca="true" t="shared" si="12" ref="H51:H59">IF(E51&lt;&gt;0,+F51/100*D51,"")</f>
      </c>
    </row>
    <row r="52" spans="2:8" ht="12.75">
      <c r="B52" s="5">
        <f t="shared" si="10"/>
        <v>41</v>
      </c>
      <c r="C52" s="109"/>
      <c r="D52" s="110"/>
      <c r="E52" s="111"/>
      <c r="F52" s="112"/>
      <c r="G52" s="6">
        <f t="shared" si="11"/>
      </c>
      <c r="H52" s="6">
        <f t="shared" si="12"/>
      </c>
    </row>
    <row r="53" spans="2:8" ht="12.75">
      <c r="B53" s="5">
        <f t="shared" si="10"/>
        <v>42</v>
      </c>
      <c r="C53" s="109"/>
      <c r="D53" s="110"/>
      <c r="E53" s="111"/>
      <c r="F53" s="112"/>
      <c r="G53" s="6">
        <f t="shared" si="11"/>
      </c>
      <c r="H53" s="6">
        <f t="shared" si="12"/>
      </c>
    </row>
    <row r="54" spans="2:8" ht="12.75">
      <c r="B54" s="5">
        <f t="shared" si="10"/>
        <v>43</v>
      </c>
      <c r="C54" s="109"/>
      <c r="D54" s="110"/>
      <c r="E54" s="111"/>
      <c r="F54" s="112"/>
      <c r="G54" s="6">
        <f t="shared" si="11"/>
      </c>
      <c r="H54" s="6">
        <f t="shared" si="12"/>
      </c>
    </row>
    <row r="55" spans="2:8" ht="12.75">
      <c r="B55" s="5">
        <f t="shared" si="10"/>
        <v>44</v>
      </c>
      <c r="C55" s="109"/>
      <c r="D55" s="110"/>
      <c r="E55" s="111"/>
      <c r="F55" s="112"/>
      <c r="G55" s="6">
        <f t="shared" si="11"/>
      </c>
      <c r="H55" s="6">
        <f t="shared" si="12"/>
      </c>
    </row>
    <row r="56" spans="2:8" ht="12.75">
      <c r="B56" s="5">
        <f t="shared" si="10"/>
        <v>45</v>
      </c>
      <c r="C56" s="109"/>
      <c r="D56" s="110"/>
      <c r="E56" s="111"/>
      <c r="F56" s="112"/>
      <c r="G56" s="6">
        <f t="shared" si="11"/>
      </c>
      <c r="H56" s="6">
        <f t="shared" si="12"/>
      </c>
    </row>
    <row r="57" spans="2:8" ht="12.75">
      <c r="B57" s="5">
        <f t="shared" si="10"/>
        <v>46</v>
      </c>
      <c r="C57" s="109"/>
      <c r="D57" s="110"/>
      <c r="E57" s="111"/>
      <c r="F57" s="112"/>
      <c r="G57" s="6">
        <f t="shared" si="11"/>
      </c>
      <c r="H57" s="6">
        <f t="shared" si="12"/>
      </c>
    </row>
    <row r="58" spans="2:8" ht="12.75">
      <c r="B58" s="5">
        <f t="shared" si="10"/>
        <v>47</v>
      </c>
      <c r="C58" s="109"/>
      <c r="D58" s="110"/>
      <c r="E58" s="111"/>
      <c r="F58" s="112"/>
      <c r="G58" s="6">
        <f t="shared" si="11"/>
      </c>
      <c r="H58" s="6">
        <f t="shared" si="12"/>
      </c>
    </row>
    <row r="59" spans="2:8" ht="12.75">
      <c r="B59" s="5">
        <f t="shared" si="10"/>
        <v>48</v>
      </c>
      <c r="C59" s="109"/>
      <c r="D59" s="110"/>
      <c r="E59" s="111"/>
      <c r="F59" s="112"/>
      <c r="G59" s="6">
        <f t="shared" si="11"/>
      </c>
      <c r="H59" s="6">
        <f t="shared" si="12"/>
      </c>
    </row>
    <row r="60" spans="2:8" ht="12.75">
      <c r="B60" s="5">
        <f t="shared" si="10"/>
        <v>49</v>
      </c>
      <c r="C60" s="109"/>
      <c r="D60" s="110"/>
      <c r="E60" s="111"/>
      <c r="F60" s="112"/>
      <c r="G60" s="6">
        <f aca="true" t="shared" si="13" ref="G60:G75">IF(D60&lt;&gt;0,+E60/100*D60/6.25,"")</f>
      </c>
      <c r="H60" s="6">
        <f aca="true" t="shared" si="14" ref="H60:H75">IF(E60&lt;&gt;0,+F60/100*D60,"")</f>
      </c>
    </row>
    <row r="61" spans="2:8" ht="12.75">
      <c r="B61" s="5">
        <f t="shared" si="10"/>
        <v>50</v>
      </c>
      <c r="C61" s="109"/>
      <c r="D61" s="110"/>
      <c r="E61" s="111"/>
      <c r="F61" s="112"/>
      <c r="G61" s="6">
        <f t="shared" si="13"/>
      </c>
      <c r="H61" s="6">
        <f t="shared" si="14"/>
      </c>
    </row>
    <row r="62" spans="2:8" ht="12.75">
      <c r="B62" s="5">
        <f aca="true" t="shared" si="15" ref="B62:B77">+B61+1</f>
        <v>51</v>
      </c>
      <c r="C62" s="109"/>
      <c r="D62" s="110"/>
      <c r="E62" s="111"/>
      <c r="F62" s="112"/>
      <c r="G62" s="6">
        <f t="shared" si="13"/>
      </c>
      <c r="H62" s="6">
        <f t="shared" si="14"/>
      </c>
    </row>
    <row r="63" spans="2:8" ht="12.75">
      <c r="B63" s="5">
        <f t="shared" si="15"/>
        <v>52</v>
      </c>
      <c r="C63" s="109"/>
      <c r="D63" s="110"/>
      <c r="E63" s="111"/>
      <c r="F63" s="112"/>
      <c r="G63" s="6">
        <f t="shared" si="13"/>
      </c>
      <c r="H63" s="6">
        <f t="shared" si="14"/>
      </c>
    </row>
    <row r="64" spans="2:8" ht="12.75">
      <c r="B64" s="5">
        <f t="shared" si="15"/>
        <v>53</v>
      </c>
      <c r="C64" s="109"/>
      <c r="D64" s="110"/>
      <c r="E64" s="111"/>
      <c r="F64" s="112"/>
      <c r="G64" s="6">
        <f t="shared" si="13"/>
      </c>
      <c r="H64" s="6">
        <f t="shared" si="14"/>
      </c>
    </row>
    <row r="65" spans="2:8" ht="12.75">
      <c r="B65" s="5">
        <f t="shared" si="15"/>
        <v>54</v>
      </c>
      <c r="C65" s="109"/>
      <c r="D65" s="110"/>
      <c r="E65" s="111"/>
      <c r="F65" s="112"/>
      <c r="G65" s="6">
        <f t="shared" si="13"/>
      </c>
      <c r="H65" s="6">
        <f t="shared" si="14"/>
      </c>
    </row>
    <row r="66" spans="2:8" ht="12.75">
      <c r="B66" s="5">
        <f t="shared" si="15"/>
        <v>55</v>
      </c>
      <c r="C66" s="109"/>
      <c r="D66" s="110"/>
      <c r="E66" s="111"/>
      <c r="F66" s="112"/>
      <c r="G66" s="6">
        <f t="shared" si="13"/>
      </c>
      <c r="H66" s="6">
        <f t="shared" si="14"/>
      </c>
    </row>
    <row r="67" spans="2:8" ht="12.75">
      <c r="B67" s="5">
        <f t="shared" si="15"/>
        <v>56</v>
      </c>
      <c r="C67" s="109"/>
      <c r="D67" s="110"/>
      <c r="E67" s="111"/>
      <c r="F67" s="112"/>
      <c r="G67" s="6">
        <f t="shared" si="13"/>
      </c>
      <c r="H67" s="6">
        <f t="shared" si="14"/>
      </c>
    </row>
    <row r="68" spans="2:8" ht="12.75">
      <c r="B68" s="5">
        <f t="shared" si="15"/>
        <v>57</v>
      </c>
      <c r="C68" s="109"/>
      <c r="D68" s="110"/>
      <c r="E68" s="111"/>
      <c r="F68" s="112"/>
      <c r="G68" s="6">
        <f t="shared" si="13"/>
      </c>
      <c r="H68" s="6">
        <f t="shared" si="14"/>
      </c>
    </row>
    <row r="69" spans="2:8" ht="12.75">
      <c r="B69" s="5">
        <f t="shared" si="15"/>
        <v>58</v>
      </c>
      <c r="C69" s="109"/>
      <c r="D69" s="110"/>
      <c r="E69" s="111"/>
      <c r="F69" s="112"/>
      <c r="G69" s="6">
        <f t="shared" si="13"/>
      </c>
      <c r="H69" s="6">
        <f t="shared" si="14"/>
      </c>
    </row>
    <row r="70" spans="2:8" ht="12.75">
      <c r="B70" s="5">
        <f t="shared" si="15"/>
        <v>59</v>
      </c>
      <c r="C70" s="109"/>
      <c r="D70" s="110"/>
      <c r="E70" s="111"/>
      <c r="F70" s="112"/>
      <c r="G70" s="6">
        <f t="shared" si="13"/>
      </c>
      <c r="H70" s="6">
        <f t="shared" si="14"/>
      </c>
    </row>
    <row r="71" spans="2:8" ht="12.75">
      <c r="B71" s="5">
        <f t="shared" si="15"/>
        <v>60</v>
      </c>
      <c r="C71" s="109"/>
      <c r="D71" s="110"/>
      <c r="E71" s="111"/>
      <c r="F71" s="112"/>
      <c r="G71" s="6">
        <f t="shared" si="13"/>
      </c>
      <c r="H71" s="6">
        <f t="shared" si="14"/>
      </c>
    </row>
    <row r="72" spans="2:8" ht="12.75">
      <c r="B72" s="5">
        <f t="shared" si="15"/>
        <v>61</v>
      </c>
      <c r="C72" s="109"/>
      <c r="D72" s="110"/>
      <c r="E72" s="111"/>
      <c r="F72" s="112"/>
      <c r="G72" s="6">
        <f t="shared" si="13"/>
      </c>
      <c r="H72" s="6">
        <f t="shared" si="14"/>
      </c>
    </row>
    <row r="73" spans="2:8" ht="12.75">
      <c r="B73" s="5">
        <f t="shared" si="15"/>
        <v>62</v>
      </c>
      <c r="C73" s="109"/>
      <c r="D73" s="110"/>
      <c r="E73" s="111"/>
      <c r="F73" s="112"/>
      <c r="G73" s="6">
        <f t="shared" si="13"/>
      </c>
      <c r="H73" s="6">
        <f t="shared" si="14"/>
      </c>
    </row>
    <row r="74" spans="2:8" ht="12.75">
      <c r="B74" s="5">
        <f t="shared" si="15"/>
        <v>63</v>
      </c>
      <c r="C74" s="109"/>
      <c r="D74" s="110"/>
      <c r="E74" s="111"/>
      <c r="F74" s="112"/>
      <c r="G74" s="6">
        <f t="shared" si="13"/>
      </c>
      <c r="H74" s="6">
        <f t="shared" si="14"/>
      </c>
    </row>
    <row r="75" spans="2:8" ht="12.75">
      <c r="B75" s="5">
        <f t="shared" si="15"/>
        <v>64</v>
      </c>
      <c r="C75" s="109"/>
      <c r="D75" s="110"/>
      <c r="E75" s="111"/>
      <c r="F75" s="112"/>
      <c r="G75" s="6">
        <f t="shared" si="13"/>
      </c>
      <c r="H75" s="6">
        <f t="shared" si="14"/>
      </c>
    </row>
    <row r="76" spans="2:8" ht="12.75">
      <c r="B76" s="5">
        <f t="shared" si="15"/>
        <v>65</v>
      </c>
      <c r="C76" s="109"/>
      <c r="D76" s="110"/>
      <c r="E76" s="111"/>
      <c r="F76" s="112"/>
      <c r="G76" s="6">
        <f aca="true" t="shared" si="16" ref="G76:G91">IF(D76&lt;&gt;0,+E76/100*D76/6.25,"")</f>
      </c>
      <c r="H76" s="6">
        <f aca="true" t="shared" si="17" ref="H76:H91">IF(E76&lt;&gt;0,+F76/100*D76,"")</f>
      </c>
    </row>
    <row r="77" spans="2:8" ht="12.75">
      <c r="B77" s="5">
        <f t="shared" si="15"/>
        <v>66</v>
      </c>
      <c r="C77" s="109"/>
      <c r="D77" s="110"/>
      <c r="E77" s="111"/>
      <c r="F77" s="112"/>
      <c r="G77" s="6">
        <f t="shared" si="16"/>
      </c>
      <c r="H77" s="6">
        <f t="shared" si="17"/>
      </c>
    </row>
    <row r="78" spans="2:8" ht="12.75">
      <c r="B78" s="5">
        <f aca="true" t="shared" si="18" ref="B78:B93">+B77+1</f>
        <v>67</v>
      </c>
      <c r="C78" s="109"/>
      <c r="D78" s="110"/>
      <c r="E78" s="111"/>
      <c r="F78" s="112"/>
      <c r="G78" s="6">
        <f t="shared" si="16"/>
      </c>
      <c r="H78" s="6">
        <f t="shared" si="17"/>
      </c>
    </row>
    <row r="79" spans="2:8" ht="12.75">
      <c r="B79" s="5">
        <f t="shared" si="18"/>
        <v>68</v>
      </c>
      <c r="C79" s="109"/>
      <c r="D79" s="110"/>
      <c r="E79" s="111"/>
      <c r="F79" s="112"/>
      <c r="G79" s="6">
        <f t="shared" si="16"/>
      </c>
      <c r="H79" s="6">
        <f t="shared" si="17"/>
      </c>
    </row>
    <row r="80" spans="2:8" ht="12.75">
      <c r="B80" s="5">
        <f t="shared" si="18"/>
        <v>69</v>
      </c>
      <c r="C80" s="109"/>
      <c r="D80" s="110"/>
      <c r="E80" s="111"/>
      <c r="F80" s="112"/>
      <c r="G80" s="6">
        <f t="shared" si="16"/>
      </c>
      <c r="H80" s="6">
        <f t="shared" si="17"/>
      </c>
    </row>
    <row r="81" spans="2:8" ht="12.75">
      <c r="B81" s="5">
        <f t="shared" si="18"/>
        <v>70</v>
      </c>
      <c r="C81" s="109"/>
      <c r="D81" s="110"/>
      <c r="E81" s="111"/>
      <c r="F81" s="112"/>
      <c r="G81" s="6">
        <f t="shared" si="16"/>
      </c>
      <c r="H81" s="6">
        <f t="shared" si="17"/>
      </c>
    </row>
    <row r="82" spans="2:8" ht="12.75">
      <c r="B82" s="5">
        <f t="shared" si="18"/>
        <v>71</v>
      </c>
      <c r="C82" s="109"/>
      <c r="D82" s="110"/>
      <c r="E82" s="111"/>
      <c r="F82" s="112"/>
      <c r="G82" s="6">
        <f t="shared" si="16"/>
      </c>
      <c r="H82" s="6">
        <f t="shared" si="17"/>
      </c>
    </row>
    <row r="83" spans="2:8" ht="12.75">
      <c r="B83" s="5">
        <f t="shared" si="18"/>
        <v>72</v>
      </c>
      <c r="C83" s="109"/>
      <c r="D83" s="110"/>
      <c r="E83" s="111"/>
      <c r="F83" s="112"/>
      <c r="G83" s="6">
        <f t="shared" si="16"/>
      </c>
      <c r="H83" s="6">
        <f t="shared" si="17"/>
      </c>
    </row>
    <row r="84" spans="2:8" ht="12.75">
      <c r="B84" s="5">
        <f t="shared" si="18"/>
        <v>73</v>
      </c>
      <c r="C84" s="109"/>
      <c r="D84" s="110"/>
      <c r="E84" s="111"/>
      <c r="F84" s="112"/>
      <c r="G84" s="6">
        <f t="shared" si="16"/>
      </c>
      <c r="H84" s="6">
        <f t="shared" si="17"/>
      </c>
    </row>
    <row r="85" spans="2:8" ht="12.75">
      <c r="B85" s="5">
        <f t="shared" si="18"/>
        <v>74</v>
      </c>
      <c r="C85" s="109"/>
      <c r="D85" s="110"/>
      <c r="E85" s="111"/>
      <c r="F85" s="112"/>
      <c r="G85" s="6">
        <f t="shared" si="16"/>
      </c>
      <c r="H85" s="6">
        <f t="shared" si="17"/>
      </c>
    </row>
    <row r="86" spans="2:8" ht="12.75">
      <c r="B86" s="5">
        <f t="shared" si="18"/>
        <v>75</v>
      </c>
      <c r="C86" s="109"/>
      <c r="D86" s="110"/>
      <c r="E86" s="111"/>
      <c r="F86" s="112"/>
      <c r="G86" s="6">
        <f t="shared" si="16"/>
      </c>
      <c r="H86" s="6">
        <f t="shared" si="17"/>
      </c>
    </row>
    <row r="87" spans="2:8" ht="12.75">
      <c r="B87" s="5">
        <f t="shared" si="18"/>
        <v>76</v>
      </c>
      <c r="C87" s="109"/>
      <c r="D87" s="110"/>
      <c r="E87" s="111"/>
      <c r="F87" s="112"/>
      <c r="G87" s="6">
        <f t="shared" si="16"/>
      </c>
      <c r="H87" s="6">
        <f t="shared" si="17"/>
      </c>
    </row>
    <row r="88" spans="2:8" ht="12.75">
      <c r="B88" s="5">
        <f t="shared" si="18"/>
        <v>77</v>
      </c>
      <c r="C88" s="109"/>
      <c r="D88" s="110"/>
      <c r="E88" s="111"/>
      <c r="F88" s="112"/>
      <c r="G88" s="6">
        <f t="shared" si="16"/>
      </c>
      <c r="H88" s="6">
        <f t="shared" si="17"/>
      </c>
    </row>
    <row r="89" spans="2:8" ht="12.75">
      <c r="B89" s="5">
        <f t="shared" si="18"/>
        <v>78</v>
      </c>
      <c r="C89" s="109"/>
      <c r="D89" s="110"/>
      <c r="E89" s="111"/>
      <c r="F89" s="112"/>
      <c r="G89" s="6">
        <f t="shared" si="16"/>
      </c>
      <c r="H89" s="6">
        <f t="shared" si="17"/>
      </c>
    </row>
    <row r="90" spans="2:8" ht="12.75">
      <c r="B90" s="5">
        <f t="shared" si="18"/>
        <v>79</v>
      </c>
      <c r="C90" s="109"/>
      <c r="D90" s="110"/>
      <c r="E90" s="111"/>
      <c r="F90" s="112"/>
      <c r="G90" s="6">
        <f t="shared" si="16"/>
      </c>
      <c r="H90" s="6">
        <f t="shared" si="17"/>
      </c>
    </row>
    <row r="91" spans="2:8" ht="12.75">
      <c r="B91" s="5">
        <f t="shared" si="18"/>
        <v>80</v>
      </c>
      <c r="C91" s="109"/>
      <c r="D91" s="110"/>
      <c r="E91" s="111"/>
      <c r="F91" s="112"/>
      <c r="G91" s="6">
        <f t="shared" si="16"/>
      </c>
      <c r="H91" s="6">
        <f t="shared" si="17"/>
      </c>
    </row>
    <row r="92" spans="2:8" ht="12.75">
      <c r="B92" s="5">
        <f t="shared" si="18"/>
        <v>81</v>
      </c>
      <c r="C92" s="109"/>
      <c r="D92" s="110"/>
      <c r="E92" s="111"/>
      <c r="F92" s="112"/>
      <c r="G92" s="6">
        <f aca="true" t="shared" si="19" ref="G92:G107">IF(D92&lt;&gt;0,+E92/100*D92/6.25,"")</f>
      </c>
      <c r="H92" s="6">
        <f aca="true" t="shared" si="20" ref="H92:H107">IF(E92&lt;&gt;0,+F92/100*D92,"")</f>
      </c>
    </row>
    <row r="93" spans="2:8" ht="12.75">
      <c r="B93" s="5">
        <f t="shared" si="18"/>
        <v>82</v>
      </c>
      <c r="C93" s="109"/>
      <c r="D93" s="110"/>
      <c r="E93" s="111"/>
      <c r="F93" s="112"/>
      <c r="G93" s="6">
        <f t="shared" si="19"/>
      </c>
      <c r="H93" s="6">
        <f t="shared" si="20"/>
      </c>
    </row>
    <row r="94" spans="2:8" ht="12.75">
      <c r="B94" s="5">
        <f aca="true" t="shared" si="21" ref="B94:B109">+B93+1</f>
        <v>83</v>
      </c>
      <c r="C94" s="109"/>
      <c r="D94" s="110"/>
      <c r="E94" s="111"/>
      <c r="F94" s="112"/>
      <c r="G94" s="6">
        <f t="shared" si="19"/>
      </c>
      <c r="H94" s="6">
        <f t="shared" si="20"/>
      </c>
    </row>
    <row r="95" spans="2:8" ht="12.75">
      <c r="B95" s="5">
        <f t="shared" si="21"/>
        <v>84</v>
      </c>
      <c r="C95" s="109"/>
      <c r="D95" s="110"/>
      <c r="E95" s="111"/>
      <c r="F95" s="112"/>
      <c r="G95" s="6">
        <f t="shared" si="19"/>
      </c>
      <c r="H95" s="6">
        <f t="shared" si="20"/>
      </c>
    </row>
    <row r="96" spans="2:8" ht="12.75">
      <c r="B96" s="5">
        <f t="shared" si="21"/>
        <v>85</v>
      </c>
      <c r="C96" s="109"/>
      <c r="D96" s="110"/>
      <c r="E96" s="111"/>
      <c r="F96" s="112"/>
      <c r="G96" s="6">
        <f t="shared" si="19"/>
      </c>
      <c r="H96" s="6">
        <f t="shared" si="20"/>
      </c>
    </row>
    <row r="97" spans="2:8" ht="12.75">
      <c r="B97" s="5">
        <f t="shared" si="21"/>
        <v>86</v>
      </c>
      <c r="C97" s="109"/>
      <c r="D97" s="110"/>
      <c r="E97" s="111"/>
      <c r="F97" s="112"/>
      <c r="G97" s="6">
        <f t="shared" si="19"/>
      </c>
      <c r="H97" s="6">
        <f t="shared" si="20"/>
      </c>
    </row>
    <row r="98" spans="2:8" ht="12.75">
      <c r="B98" s="5">
        <f t="shared" si="21"/>
        <v>87</v>
      </c>
      <c r="C98" s="109"/>
      <c r="D98" s="110"/>
      <c r="E98" s="111"/>
      <c r="F98" s="112"/>
      <c r="G98" s="6">
        <f t="shared" si="19"/>
      </c>
      <c r="H98" s="6">
        <f t="shared" si="20"/>
      </c>
    </row>
    <row r="99" spans="2:8" ht="12.75">
      <c r="B99" s="5">
        <f t="shared" si="21"/>
        <v>88</v>
      </c>
      <c r="C99" s="109"/>
      <c r="D99" s="110"/>
      <c r="E99" s="111"/>
      <c r="F99" s="112"/>
      <c r="G99" s="6">
        <f t="shared" si="19"/>
      </c>
      <c r="H99" s="6">
        <f t="shared" si="20"/>
      </c>
    </row>
    <row r="100" spans="2:8" ht="12.75">
      <c r="B100" s="5">
        <f t="shared" si="21"/>
        <v>89</v>
      </c>
      <c r="C100" s="109"/>
      <c r="D100" s="110"/>
      <c r="E100" s="111"/>
      <c r="F100" s="112"/>
      <c r="G100" s="6">
        <f t="shared" si="19"/>
      </c>
      <c r="H100" s="6">
        <f t="shared" si="20"/>
      </c>
    </row>
    <row r="101" spans="2:8" ht="12.75">
      <c r="B101" s="5">
        <f t="shared" si="21"/>
        <v>90</v>
      </c>
      <c r="C101" s="109"/>
      <c r="D101" s="110"/>
      <c r="E101" s="111"/>
      <c r="F101" s="112"/>
      <c r="G101" s="6">
        <f t="shared" si="19"/>
      </c>
      <c r="H101" s="6">
        <f t="shared" si="20"/>
      </c>
    </row>
    <row r="102" spans="2:8" ht="12.75">
      <c r="B102" s="5">
        <f t="shared" si="21"/>
        <v>91</v>
      </c>
      <c r="C102" s="109"/>
      <c r="D102" s="110"/>
      <c r="E102" s="111"/>
      <c r="F102" s="112"/>
      <c r="G102" s="6">
        <f t="shared" si="19"/>
      </c>
      <c r="H102" s="6">
        <f t="shared" si="20"/>
      </c>
    </row>
    <row r="103" spans="2:8" ht="12.75">
      <c r="B103" s="5">
        <f t="shared" si="21"/>
        <v>92</v>
      </c>
      <c r="C103" s="109"/>
      <c r="D103" s="110"/>
      <c r="E103" s="111"/>
      <c r="F103" s="112"/>
      <c r="G103" s="6">
        <f t="shared" si="19"/>
      </c>
      <c r="H103" s="6">
        <f t="shared" si="20"/>
      </c>
    </row>
    <row r="104" spans="2:8" ht="12.75">
      <c r="B104" s="5">
        <f t="shared" si="21"/>
        <v>93</v>
      </c>
      <c r="C104" s="109"/>
      <c r="D104" s="110"/>
      <c r="E104" s="111"/>
      <c r="F104" s="112"/>
      <c r="G104" s="6">
        <f t="shared" si="19"/>
      </c>
      <c r="H104" s="6">
        <f t="shared" si="20"/>
      </c>
    </row>
    <row r="105" spans="2:8" ht="12.75">
      <c r="B105" s="5">
        <f t="shared" si="21"/>
        <v>94</v>
      </c>
      <c r="C105" s="109"/>
      <c r="D105" s="110"/>
      <c r="E105" s="111"/>
      <c r="F105" s="112"/>
      <c r="G105" s="6">
        <f t="shared" si="19"/>
      </c>
      <c r="H105" s="6">
        <f t="shared" si="20"/>
      </c>
    </row>
    <row r="106" spans="2:8" ht="12.75">
      <c r="B106" s="5">
        <f t="shared" si="21"/>
        <v>95</v>
      </c>
      <c r="C106" s="109"/>
      <c r="D106" s="110"/>
      <c r="E106" s="111"/>
      <c r="F106" s="112"/>
      <c r="G106" s="6">
        <f t="shared" si="19"/>
      </c>
      <c r="H106" s="6">
        <f t="shared" si="20"/>
      </c>
    </row>
    <row r="107" spans="2:8" ht="12.75">
      <c r="B107" s="5">
        <f t="shared" si="21"/>
        <v>96</v>
      </c>
      <c r="C107" s="109"/>
      <c r="D107" s="110"/>
      <c r="E107" s="111"/>
      <c r="F107" s="112"/>
      <c r="G107" s="6">
        <f t="shared" si="19"/>
      </c>
      <c r="H107" s="6">
        <f t="shared" si="20"/>
      </c>
    </row>
    <row r="108" spans="2:8" ht="12.75">
      <c r="B108" s="5">
        <f t="shared" si="21"/>
        <v>97</v>
      </c>
      <c r="C108" s="109"/>
      <c r="D108" s="110"/>
      <c r="E108" s="111"/>
      <c r="F108" s="112"/>
      <c r="G108" s="6">
        <f>IF(D108&lt;&gt;0,+E108/100*D108/6.25,"")</f>
      </c>
      <c r="H108" s="6">
        <f>IF(E108&lt;&gt;0,+F108/100*D108,"")</f>
      </c>
    </row>
    <row r="109" spans="2:8" ht="12.75">
      <c r="B109" s="5">
        <f t="shared" si="21"/>
        <v>98</v>
      </c>
      <c r="C109" s="109"/>
      <c r="D109" s="110"/>
      <c r="E109" s="111"/>
      <c r="F109" s="112"/>
      <c r="G109" s="6">
        <f>IF(D109&lt;&gt;0,+E109/100*D109/6.25,"")</f>
      </c>
      <c r="H109" s="6">
        <f>IF(E109&lt;&gt;0,+F109/100*D109,"")</f>
      </c>
    </row>
    <row r="110" spans="2:8" ht="12.75">
      <c r="B110" s="5">
        <f>+B109+1</f>
        <v>99</v>
      </c>
      <c r="C110" s="109"/>
      <c r="D110" s="110"/>
      <c r="E110" s="111"/>
      <c r="F110" s="112"/>
      <c r="G110" s="6">
        <f>IF(D110&lt;&gt;0,+E110/100*D110/6.25,"")</f>
      </c>
      <c r="H110" s="6">
        <f>IF(E110&lt;&gt;0,+F110/100*D110,"")</f>
      </c>
    </row>
    <row r="111" spans="2:8" ht="12.75">
      <c r="B111" s="5">
        <f>+B110+1</f>
        <v>100</v>
      </c>
      <c r="C111" s="109"/>
      <c r="D111" s="110"/>
      <c r="E111" s="111"/>
      <c r="F111" s="112"/>
      <c r="G111" s="6">
        <f>IF(D111&lt;&gt;0,+E111/100*D111/6.25,"")</f>
      </c>
      <c r="H111" s="6">
        <f>IF(E111&lt;&gt;0,+F111/100*D111,"")</f>
      </c>
    </row>
  </sheetData>
  <sheetProtection password="DC87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&amp;L&amp;"Arial,Gras"Estimation des rejets d'azote et de phosphore&amp;RCorpen
</oddHeader>
    <oddFooter>&amp;R&amp;F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3"/>
  <sheetViews>
    <sheetView showGridLines="0" showRowColHeaders="0" showZeros="0" showOutlineSymbols="0" zoomScale="80" zoomScaleNormal="80" workbookViewId="0" topLeftCell="A1">
      <pane ySplit="11" topLeftCell="BM12" activePane="bottomLeft" state="frozen"/>
      <selection pane="topLeft" activeCell="D18" sqref="D18"/>
      <selection pane="bottomLeft" activeCell="D42" sqref="D42"/>
    </sheetView>
  </sheetViews>
  <sheetFormatPr defaultColWidth="11.421875" defaultRowHeight="12.75"/>
  <cols>
    <col min="1" max="1" width="3.8515625" style="0" customWidth="1"/>
    <col min="2" max="2" width="4.7109375" style="0" customWidth="1"/>
    <col min="3" max="3" width="24.28125" style="0" customWidth="1"/>
    <col min="4" max="4" width="12.28125" style="0" customWidth="1"/>
    <col min="6" max="6" width="12.28125" style="0" customWidth="1"/>
  </cols>
  <sheetData>
    <row r="1" spans="2:8" ht="12.75">
      <c r="B1" s="54"/>
      <c r="C1" s="54"/>
      <c r="D1" s="54"/>
      <c r="E1" s="54"/>
      <c r="F1" s="54"/>
      <c r="G1" s="54"/>
      <c r="H1" s="54"/>
    </row>
    <row r="2" spans="2:7" ht="12.75">
      <c r="B2" s="54"/>
      <c r="C2" s="51" t="s">
        <v>15</v>
      </c>
      <c r="D2" s="135">
        <f>IF(Elevage!C2&lt;&gt;0,Elevage!C2,"")</f>
      </c>
      <c r="E2" s="29"/>
      <c r="F2" s="29"/>
      <c r="G2" s="30"/>
    </row>
    <row r="3" spans="2:7" ht="12.75">
      <c r="B3" s="54"/>
      <c r="C3" s="52" t="s">
        <v>16</v>
      </c>
      <c r="D3" s="8">
        <f>IF(Elevage!D3&lt;&gt;0,Elevage!D3,"")</f>
      </c>
      <c r="E3" s="54"/>
      <c r="F3" s="54"/>
      <c r="G3" s="31"/>
    </row>
    <row r="4" spans="2:7" ht="12.75">
      <c r="B4" s="54"/>
      <c r="C4" s="52"/>
      <c r="D4" s="8">
        <f>IF(Elevage!C4&lt;&gt;0,Elevage!C4,"")</f>
      </c>
      <c r="E4" s="54"/>
      <c r="F4" s="54"/>
      <c r="G4" s="31"/>
    </row>
    <row r="5" spans="2:7" ht="12.75">
      <c r="B5" s="54"/>
      <c r="C5" s="53"/>
      <c r="D5" s="136">
        <f>IF(Elevage!C5&lt;&gt;0,Elevage!C5,"")</f>
      </c>
      <c r="E5" s="32"/>
      <c r="F5" s="32"/>
      <c r="G5" s="16"/>
    </row>
    <row r="6" spans="2:8" ht="12.75">
      <c r="B6" s="54"/>
      <c r="C6" s="54"/>
      <c r="D6" s="54"/>
      <c r="E6" s="54"/>
      <c r="F6" s="54"/>
      <c r="G6" s="54"/>
      <c r="H6" s="54"/>
    </row>
    <row r="7" spans="2:8" ht="12.75">
      <c r="B7" s="54"/>
      <c r="C7" s="55" t="s">
        <v>78</v>
      </c>
      <c r="D7" s="9">
        <f>Elevage!J11</f>
        <v>37622</v>
      </c>
      <c r="E7" s="139" t="s">
        <v>79</v>
      </c>
      <c r="F7" s="9">
        <f>Elevage!J12</f>
        <v>37986</v>
      </c>
      <c r="G7" s="54"/>
      <c r="H7" s="54"/>
    </row>
    <row r="8" spans="2:8" ht="12.75">
      <c r="B8" s="54"/>
      <c r="C8" s="54"/>
      <c r="D8" s="54"/>
      <c r="E8" s="54"/>
      <c r="F8" s="54"/>
      <c r="G8" s="54"/>
      <c r="H8" s="54"/>
    </row>
    <row r="9" spans="2:8" ht="12.75">
      <c r="B9" s="54"/>
      <c r="C9" s="54"/>
      <c r="D9" s="17" t="s">
        <v>70</v>
      </c>
      <c r="E9" s="58" t="s">
        <v>71</v>
      </c>
      <c r="F9" s="58" t="s">
        <v>72</v>
      </c>
      <c r="G9" s="58" t="s">
        <v>73</v>
      </c>
      <c r="H9" s="58" t="s">
        <v>72</v>
      </c>
    </row>
    <row r="10" spans="2:8" ht="12.75">
      <c r="B10" s="54"/>
      <c r="C10" s="16"/>
      <c r="D10" s="18" t="s">
        <v>54</v>
      </c>
      <c r="E10" s="59" t="s">
        <v>74</v>
      </c>
      <c r="F10" s="59" t="s">
        <v>74</v>
      </c>
      <c r="G10" s="59" t="s">
        <v>54</v>
      </c>
      <c r="H10" s="59" t="s">
        <v>75</v>
      </c>
    </row>
    <row r="11" spans="2:8" ht="12.75">
      <c r="B11" s="54"/>
      <c r="C11" s="57" t="s">
        <v>76</v>
      </c>
      <c r="D11" s="19">
        <f>D12+D25+D38</f>
        <v>0</v>
      </c>
      <c r="E11" s="20">
        <f>IF(D11&lt;&gt;0,G11*6.25/D11*100,"")</f>
      </c>
      <c r="F11" s="21">
        <f>IF(D11&lt;&gt;0,H11/D11*100,"")</f>
      </c>
      <c r="G11" s="19">
        <f>G12+G25+G38</f>
        <v>0</v>
      </c>
      <c r="H11" s="19">
        <f>H12+H25+H38</f>
        <v>0</v>
      </c>
    </row>
    <row r="12" spans="2:8" ht="12.75">
      <c r="B12" s="5">
        <v>1</v>
      </c>
      <c r="C12" s="161" t="s">
        <v>44</v>
      </c>
      <c r="D12" s="162">
        <f>SUM(D13:D23)</f>
        <v>0</v>
      </c>
      <c r="E12" s="163">
        <f>IF(D12&lt;&gt;0,G12*6.25/D12*100,"")</f>
      </c>
      <c r="F12" s="164">
        <f>IF(D12&lt;&gt;0,H12/D12*100,"")</f>
      </c>
      <c r="G12" s="156">
        <f>SUM(G13:G24)</f>
        <v>0</v>
      </c>
      <c r="H12" s="156">
        <f>SUM(H13:H24)</f>
        <v>0</v>
      </c>
    </row>
    <row r="13" spans="2:8" ht="12.75">
      <c r="B13" s="5">
        <f>+B12+1</f>
        <v>2</v>
      </c>
      <c r="C13" s="109" t="s">
        <v>223</v>
      </c>
      <c r="D13" s="110"/>
      <c r="E13" s="111">
        <v>13.5</v>
      </c>
      <c r="F13" s="112">
        <v>0.6218</v>
      </c>
      <c r="G13" s="6">
        <f>IF(E13&lt;&gt;0,+E13/100*D13/6.25,"")</f>
        <v>0</v>
      </c>
      <c r="H13" s="6">
        <f>IF(F13&lt;&gt;0,+F13/100*D13,"")</f>
        <v>0</v>
      </c>
    </row>
    <row r="14" spans="2:8" ht="12.75">
      <c r="B14" s="5">
        <f aca="true" t="shared" si="0" ref="B14:B29">+B13+1</f>
        <v>3</v>
      </c>
      <c r="C14" s="109" t="s">
        <v>315</v>
      </c>
      <c r="D14" s="110"/>
      <c r="E14" s="111">
        <v>17</v>
      </c>
      <c r="F14" s="112">
        <v>0.74</v>
      </c>
      <c r="G14" s="6">
        <f>IF(E14&lt;&gt;0,+E14/100*D14/6.25,"")</f>
        <v>0</v>
      </c>
      <c r="H14" s="6">
        <f>IF(F14&lt;&gt;0,+F14/100*D14,"")</f>
        <v>0</v>
      </c>
    </row>
    <row r="15" spans="2:8" ht="12.75">
      <c r="B15" s="5">
        <f t="shared" si="0"/>
        <v>4</v>
      </c>
      <c r="C15" s="109"/>
      <c r="D15" s="110"/>
      <c r="E15" s="111"/>
      <c r="F15" s="112"/>
      <c r="G15" s="6">
        <f>IF(E15&lt;&gt;0,+E15/100*D15/6.25,"")</f>
      </c>
      <c r="H15" s="6">
        <f>IF(F15&lt;&gt;0,+F15/100*D15,"")</f>
      </c>
    </row>
    <row r="16" spans="2:8" ht="12.75">
      <c r="B16" s="5">
        <f t="shared" si="0"/>
        <v>5</v>
      </c>
      <c r="C16" s="109"/>
      <c r="D16" s="110"/>
      <c r="E16" s="111"/>
      <c r="F16" s="112"/>
      <c r="G16" s="6">
        <f>IF(E16&lt;&gt;0,+E16/100*D16/6.25,"")</f>
      </c>
      <c r="H16" s="6">
        <f>IF(F16&lt;&gt;0,+F16/100*D16,"")</f>
      </c>
    </row>
    <row r="17" spans="2:8" ht="12.75">
      <c r="B17" s="5">
        <f t="shared" si="0"/>
        <v>6</v>
      </c>
      <c r="C17" s="109"/>
      <c r="D17" s="110"/>
      <c r="E17" s="111"/>
      <c r="F17" s="112"/>
      <c r="G17" s="6">
        <f aca="true" t="shared" si="1" ref="G17:G23">IF(E17&lt;&gt;0,+E17/100*D17/6.25,"")</f>
      </c>
      <c r="H17" s="6">
        <f aca="true" t="shared" si="2" ref="H17:H23">IF(F17&lt;&gt;0,+F17/100*D17,"")</f>
      </c>
    </row>
    <row r="18" spans="2:8" ht="12.75">
      <c r="B18" s="5">
        <f t="shared" si="0"/>
        <v>7</v>
      </c>
      <c r="C18" s="109"/>
      <c r="D18" s="110"/>
      <c r="E18" s="111"/>
      <c r="F18" s="112"/>
      <c r="G18" s="6">
        <f t="shared" si="1"/>
      </c>
      <c r="H18" s="6">
        <f t="shared" si="2"/>
      </c>
    </row>
    <row r="19" spans="2:8" ht="12.75">
      <c r="B19" s="5">
        <f t="shared" si="0"/>
        <v>8</v>
      </c>
      <c r="C19" s="109"/>
      <c r="D19" s="110"/>
      <c r="E19" s="111"/>
      <c r="F19" s="112"/>
      <c r="G19" s="6">
        <f t="shared" si="1"/>
      </c>
      <c r="H19" s="6">
        <f t="shared" si="2"/>
      </c>
    </row>
    <row r="20" spans="2:8" ht="12.75">
      <c r="B20" s="5">
        <f t="shared" si="0"/>
        <v>9</v>
      </c>
      <c r="C20" s="109"/>
      <c r="D20" s="110"/>
      <c r="E20" s="111"/>
      <c r="F20" s="112"/>
      <c r="G20" s="6">
        <f t="shared" si="1"/>
      </c>
      <c r="H20" s="6">
        <f t="shared" si="2"/>
      </c>
    </row>
    <row r="21" spans="2:8" ht="12.75">
      <c r="B21" s="5">
        <f t="shared" si="0"/>
        <v>10</v>
      </c>
      <c r="C21" s="109"/>
      <c r="D21" s="110"/>
      <c r="E21" s="111"/>
      <c r="F21" s="112"/>
      <c r="G21" s="6">
        <f t="shared" si="1"/>
      </c>
      <c r="H21" s="6">
        <f t="shared" si="2"/>
      </c>
    </row>
    <row r="22" spans="2:8" ht="12.75">
      <c r="B22" s="5">
        <f t="shared" si="0"/>
        <v>11</v>
      </c>
      <c r="C22" s="109"/>
      <c r="D22" s="110"/>
      <c r="E22" s="111"/>
      <c r="F22" s="112"/>
      <c r="G22" s="6">
        <f t="shared" si="1"/>
      </c>
      <c r="H22" s="6">
        <f t="shared" si="2"/>
      </c>
    </row>
    <row r="23" spans="2:8" ht="12.75">
      <c r="B23" s="5">
        <f t="shared" si="0"/>
        <v>12</v>
      </c>
      <c r="C23" s="109"/>
      <c r="D23" s="110"/>
      <c r="E23" s="111"/>
      <c r="F23" s="112"/>
      <c r="G23" s="6">
        <f t="shared" si="1"/>
      </c>
      <c r="H23" s="6">
        <f t="shared" si="2"/>
      </c>
    </row>
    <row r="24" spans="2:8" ht="12.75">
      <c r="B24" s="5">
        <f t="shared" si="0"/>
        <v>13</v>
      </c>
      <c r="C24" s="109" t="s">
        <v>227</v>
      </c>
      <c r="D24" s="110"/>
      <c r="E24" s="111"/>
      <c r="F24" s="112"/>
      <c r="G24" s="6">
        <f>IF(E24&lt;&gt;0,+E24/100*D24/6.25,"")</f>
      </c>
      <c r="H24" s="6">
        <f>IF(F24&lt;&gt;0,+F24/100*D24,"")</f>
      </c>
    </row>
    <row r="25" spans="2:8" ht="12.75">
      <c r="B25" s="5">
        <f t="shared" si="0"/>
        <v>14</v>
      </c>
      <c r="C25" s="161" t="s">
        <v>147</v>
      </c>
      <c r="D25" s="162">
        <f>SUM(D26:D36)</f>
        <v>0</v>
      </c>
      <c r="E25" s="163">
        <f>IF(D25&lt;&gt;0,G25*6.25/D25*100,"")</f>
      </c>
      <c r="F25" s="164">
        <f>IF(D25&lt;&gt;0,H25/D25*100,"")</f>
      </c>
      <c r="G25" s="156">
        <f>SUM(G26:G37)</f>
        <v>0</v>
      </c>
      <c r="H25" s="156">
        <f>SUM(H26:H37)</f>
        <v>0</v>
      </c>
    </row>
    <row r="26" spans="2:8" ht="12.75">
      <c r="B26" s="5">
        <f t="shared" si="0"/>
        <v>15</v>
      </c>
      <c r="C26" s="109" t="s">
        <v>317</v>
      </c>
      <c r="D26" s="110"/>
      <c r="E26" s="111">
        <v>23</v>
      </c>
      <c r="F26" s="112">
        <v>0.8</v>
      </c>
      <c r="G26" s="6">
        <f aca="true" t="shared" si="3" ref="G26:G37">IF(E26&lt;&gt;0,+E26/100*D26/6.25,"")</f>
        <v>0</v>
      </c>
      <c r="H26" s="6">
        <f aca="true" t="shared" si="4" ref="H26:H37">IF(F26&lt;&gt;0,+F26/100*D26,"")</f>
        <v>0</v>
      </c>
    </row>
    <row r="27" spans="2:8" ht="12.75">
      <c r="B27" s="5">
        <f t="shared" si="0"/>
        <v>16</v>
      </c>
      <c r="C27" s="109" t="s">
        <v>318</v>
      </c>
      <c r="D27" s="110"/>
      <c r="E27" s="111">
        <v>25</v>
      </c>
      <c r="F27" s="112">
        <v>0.75</v>
      </c>
      <c r="G27" s="6">
        <f t="shared" si="3"/>
        <v>0</v>
      </c>
      <c r="H27" s="6">
        <f t="shared" si="4"/>
        <v>0</v>
      </c>
    </row>
    <row r="28" spans="2:8" ht="12.75">
      <c r="B28" s="5">
        <f t="shared" si="0"/>
        <v>17</v>
      </c>
      <c r="C28" s="109" t="s">
        <v>319</v>
      </c>
      <c r="D28" s="110"/>
      <c r="E28" s="111">
        <v>20</v>
      </c>
      <c r="F28" s="112">
        <v>0.7</v>
      </c>
      <c r="G28" s="6">
        <f t="shared" si="3"/>
        <v>0</v>
      </c>
      <c r="H28" s="6">
        <f t="shared" si="4"/>
        <v>0</v>
      </c>
    </row>
    <row r="29" spans="2:8" ht="12.75">
      <c r="B29" s="5">
        <f t="shared" si="0"/>
        <v>18</v>
      </c>
      <c r="C29" s="109" t="s">
        <v>320</v>
      </c>
      <c r="D29" s="110"/>
      <c r="E29" s="111">
        <v>19</v>
      </c>
      <c r="F29" s="112">
        <v>0.65</v>
      </c>
      <c r="G29" s="6">
        <f t="shared" si="3"/>
        <v>0</v>
      </c>
      <c r="H29" s="6">
        <f t="shared" si="4"/>
        <v>0</v>
      </c>
    </row>
    <row r="30" spans="2:8" ht="12.75">
      <c r="B30" s="5">
        <f aca="true" t="shared" si="5" ref="B30:B45">+B29+1</f>
        <v>19</v>
      </c>
      <c r="C30" s="109"/>
      <c r="D30" s="110"/>
      <c r="E30" s="111"/>
      <c r="F30" s="112"/>
      <c r="G30" s="6">
        <f t="shared" si="3"/>
      </c>
      <c r="H30" s="6">
        <f t="shared" si="4"/>
      </c>
    </row>
    <row r="31" spans="2:8" ht="12.75">
      <c r="B31" s="5">
        <f t="shared" si="5"/>
        <v>20</v>
      </c>
      <c r="C31" s="109"/>
      <c r="D31" s="110"/>
      <c r="E31" s="111"/>
      <c r="F31" s="112"/>
      <c r="G31" s="6">
        <f aca="true" t="shared" si="6" ref="G31:G36">IF(E31&lt;&gt;0,+E31/100*D31/6.25,"")</f>
      </c>
      <c r="H31" s="6">
        <f aca="true" t="shared" si="7" ref="H31:H36">IF(F31&lt;&gt;0,+F31/100*D31,"")</f>
      </c>
    </row>
    <row r="32" spans="2:8" ht="12.75">
      <c r="B32" s="5">
        <f t="shared" si="5"/>
        <v>21</v>
      </c>
      <c r="C32" s="109"/>
      <c r="D32" s="110"/>
      <c r="E32" s="111"/>
      <c r="F32" s="112"/>
      <c r="G32" s="6">
        <f t="shared" si="6"/>
      </c>
      <c r="H32" s="6">
        <f t="shared" si="7"/>
      </c>
    </row>
    <row r="33" spans="2:8" ht="12.75">
      <c r="B33" s="5">
        <f t="shared" si="5"/>
        <v>22</v>
      </c>
      <c r="C33" s="109"/>
      <c r="D33" s="110"/>
      <c r="E33" s="111"/>
      <c r="F33" s="112"/>
      <c r="G33" s="6">
        <f t="shared" si="6"/>
      </c>
      <c r="H33" s="6">
        <f t="shared" si="7"/>
      </c>
    </row>
    <row r="34" spans="2:8" ht="12.75">
      <c r="B34" s="5">
        <f t="shared" si="5"/>
        <v>23</v>
      </c>
      <c r="C34" s="109"/>
      <c r="D34" s="110">
        <v>0</v>
      </c>
      <c r="E34" s="111">
        <v>0</v>
      </c>
      <c r="F34" s="112">
        <v>0</v>
      </c>
      <c r="G34" s="6">
        <f t="shared" si="6"/>
      </c>
      <c r="H34" s="6">
        <f t="shared" si="7"/>
      </c>
    </row>
    <row r="35" spans="2:8" ht="12.75">
      <c r="B35" s="5">
        <f t="shared" si="5"/>
        <v>24</v>
      </c>
      <c r="C35" s="109"/>
      <c r="D35" s="110"/>
      <c r="E35" s="111"/>
      <c r="F35" s="112"/>
      <c r="G35" s="6">
        <f t="shared" si="6"/>
      </c>
      <c r="H35" s="6">
        <f t="shared" si="7"/>
      </c>
    </row>
    <row r="36" spans="2:8" ht="12.75">
      <c r="B36" s="5">
        <f t="shared" si="5"/>
        <v>25</v>
      </c>
      <c r="C36" s="109"/>
      <c r="D36" s="110"/>
      <c r="E36" s="111"/>
      <c r="F36" s="112"/>
      <c r="G36" s="6">
        <f t="shared" si="6"/>
      </c>
      <c r="H36" s="6">
        <f t="shared" si="7"/>
      </c>
    </row>
    <row r="37" spans="2:8" ht="12.75">
      <c r="B37" s="5">
        <f t="shared" si="5"/>
        <v>26</v>
      </c>
      <c r="C37" s="109" t="s">
        <v>227</v>
      </c>
      <c r="D37" s="110"/>
      <c r="E37" s="111"/>
      <c r="F37" s="112"/>
      <c r="G37" s="6">
        <f t="shared" si="3"/>
      </c>
      <c r="H37" s="6">
        <f t="shared" si="4"/>
      </c>
    </row>
    <row r="38" spans="2:8" ht="12.75">
      <c r="B38" s="5">
        <f t="shared" si="5"/>
        <v>27</v>
      </c>
      <c r="C38" s="161" t="s">
        <v>148</v>
      </c>
      <c r="D38" s="162">
        <f>SUM(D39:D51)</f>
        <v>0</v>
      </c>
      <c r="E38" s="163">
        <f>IF(D38&lt;&gt;0,G38*6.25/D38*100,"")</f>
      </c>
      <c r="F38" s="164">
        <f>IF(D38&lt;&gt;0,H38/D38*100,"")</f>
      </c>
      <c r="G38" s="156">
        <f>SUM(G39:G52)</f>
        <v>0</v>
      </c>
      <c r="H38" s="156">
        <f>SUM(H39:H52)</f>
        <v>0</v>
      </c>
    </row>
    <row r="39" spans="2:8" ht="12.75">
      <c r="B39" s="5">
        <f t="shared" si="5"/>
        <v>28</v>
      </c>
      <c r="C39" s="109" t="s">
        <v>316</v>
      </c>
      <c r="D39" s="110"/>
      <c r="E39" s="111">
        <v>19</v>
      </c>
      <c r="F39" s="112">
        <v>0.55</v>
      </c>
      <c r="G39" s="6">
        <f aca="true" t="shared" si="8" ref="G39:G47">IF(E39&lt;&gt;0,+E39/100*D39/6.25,"")</f>
        <v>0</v>
      </c>
      <c r="H39" s="6">
        <f aca="true" t="shared" si="9" ref="H39:H47">IF(F39&lt;&gt;0,+F39/100*D39,"")</f>
        <v>0</v>
      </c>
    </row>
    <row r="40" spans="2:8" ht="12.75">
      <c r="B40" s="5">
        <f t="shared" si="5"/>
        <v>29</v>
      </c>
      <c r="C40" s="109" t="s">
        <v>224</v>
      </c>
      <c r="D40" s="110"/>
      <c r="E40" s="111">
        <v>18</v>
      </c>
      <c r="F40" s="112">
        <v>0.5</v>
      </c>
      <c r="G40" s="6">
        <f t="shared" si="8"/>
        <v>0</v>
      </c>
      <c r="H40" s="6">
        <f t="shared" si="9"/>
        <v>0</v>
      </c>
    </row>
    <row r="41" spans="2:8" ht="12.75">
      <c r="B41" s="5">
        <f t="shared" si="5"/>
        <v>30</v>
      </c>
      <c r="C41" s="109" t="s">
        <v>225</v>
      </c>
      <c r="D41" s="110"/>
      <c r="E41" s="111">
        <v>16</v>
      </c>
      <c r="F41" s="112">
        <v>0.45</v>
      </c>
      <c r="G41" s="6">
        <f t="shared" si="8"/>
        <v>0</v>
      </c>
      <c r="H41" s="6">
        <f t="shared" si="9"/>
        <v>0</v>
      </c>
    </row>
    <row r="42" spans="2:8" ht="12.75">
      <c r="B42" s="5">
        <f t="shared" si="5"/>
        <v>31</v>
      </c>
      <c r="C42" s="109" t="s">
        <v>226</v>
      </c>
      <c r="D42" s="110"/>
      <c r="E42" s="111">
        <v>14</v>
      </c>
      <c r="F42" s="112">
        <v>0.4</v>
      </c>
      <c r="G42" s="6">
        <f t="shared" si="8"/>
        <v>0</v>
      </c>
      <c r="H42" s="6">
        <f t="shared" si="9"/>
        <v>0</v>
      </c>
    </row>
    <row r="43" spans="2:8" ht="12.75">
      <c r="B43" s="5">
        <f t="shared" si="5"/>
        <v>32</v>
      </c>
      <c r="C43" s="109"/>
      <c r="D43" s="110"/>
      <c r="E43" s="111"/>
      <c r="F43" s="112"/>
      <c r="G43" s="6">
        <f t="shared" si="8"/>
      </c>
      <c r="H43" s="6">
        <f t="shared" si="9"/>
      </c>
    </row>
    <row r="44" spans="2:8" ht="12.75">
      <c r="B44" s="5">
        <f t="shared" si="5"/>
        <v>33</v>
      </c>
      <c r="C44" s="109"/>
      <c r="D44" s="110"/>
      <c r="E44" s="111"/>
      <c r="F44" s="112"/>
      <c r="G44" s="6">
        <f t="shared" si="8"/>
      </c>
      <c r="H44" s="6">
        <f t="shared" si="9"/>
      </c>
    </row>
    <row r="45" spans="2:8" ht="12.75">
      <c r="B45" s="5">
        <f t="shared" si="5"/>
        <v>34</v>
      </c>
      <c r="C45" s="109"/>
      <c r="D45" s="110"/>
      <c r="E45" s="111"/>
      <c r="F45" s="112"/>
      <c r="G45" s="6">
        <f t="shared" si="8"/>
      </c>
      <c r="H45" s="6">
        <f t="shared" si="9"/>
      </c>
    </row>
    <row r="46" spans="2:8" ht="12.75">
      <c r="B46" s="5">
        <f aca="true" t="shared" si="10" ref="B46:B61">+B45+1</f>
        <v>35</v>
      </c>
      <c r="C46" s="109"/>
      <c r="D46" s="110"/>
      <c r="E46" s="111"/>
      <c r="F46" s="112"/>
      <c r="G46" s="6">
        <f t="shared" si="8"/>
      </c>
      <c r="H46" s="6">
        <f t="shared" si="9"/>
      </c>
    </row>
    <row r="47" spans="2:8" ht="12.75">
      <c r="B47" s="5">
        <f t="shared" si="10"/>
        <v>36</v>
      </c>
      <c r="C47" s="109"/>
      <c r="D47" s="256"/>
      <c r="E47" s="111"/>
      <c r="F47" s="257"/>
      <c r="G47" s="6">
        <f t="shared" si="8"/>
      </c>
      <c r="H47" s="6">
        <f t="shared" si="9"/>
      </c>
    </row>
    <row r="48" spans="2:8" ht="12.75">
      <c r="B48" s="5">
        <f t="shared" si="10"/>
        <v>37</v>
      </c>
      <c r="C48" s="109"/>
      <c r="D48" s="110"/>
      <c r="E48" s="111"/>
      <c r="F48" s="112"/>
      <c r="G48" s="6">
        <f aca="true" t="shared" si="11" ref="G48:G108">IF(E48&lt;&gt;0,+E48/100*D48/6.25,"")</f>
      </c>
      <c r="H48" s="6">
        <f aca="true" t="shared" si="12" ref="H48:H108">IF(F48&lt;&gt;0,+F48/100*D48,"")</f>
      </c>
    </row>
    <row r="49" spans="2:8" ht="12.75">
      <c r="B49" s="5">
        <f t="shared" si="10"/>
        <v>38</v>
      </c>
      <c r="C49" s="109"/>
      <c r="D49" s="110"/>
      <c r="E49" s="111"/>
      <c r="F49" s="112"/>
      <c r="G49" s="6">
        <f t="shared" si="11"/>
      </c>
      <c r="H49" s="6">
        <f t="shared" si="12"/>
      </c>
    </row>
    <row r="50" spans="2:8" ht="12.75">
      <c r="B50" s="5">
        <f t="shared" si="10"/>
        <v>39</v>
      </c>
      <c r="C50" s="109"/>
      <c r="D50" s="110"/>
      <c r="E50" s="111"/>
      <c r="F50" s="112"/>
      <c r="G50" s="6">
        <f t="shared" si="11"/>
      </c>
      <c r="H50" s="6">
        <f t="shared" si="12"/>
      </c>
    </row>
    <row r="51" spans="2:8" ht="12.75">
      <c r="B51" s="5">
        <f t="shared" si="10"/>
        <v>40</v>
      </c>
      <c r="C51" s="109"/>
      <c r="D51" s="110"/>
      <c r="E51" s="111"/>
      <c r="F51" s="112"/>
      <c r="G51" s="6">
        <f t="shared" si="11"/>
      </c>
      <c r="H51" s="6">
        <f t="shared" si="12"/>
      </c>
    </row>
    <row r="52" spans="2:8" ht="12.75">
      <c r="B52" s="5">
        <f t="shared" si="10"/>
        <v>41</v>
      </c>
      <c r="C52" s="157" t="s">
        <v>227</v>
      </c>
      <c r="D52" s="158"/>
      <c r="E52" s="159"/>
      <c r="F52" s="160"/>
      <c r="G52" s="7">
        <f t="shared" si="11"/>
      </c>
      <c r="H52" s="7">
        <f t="shared" si="12"/>
      </c>
    </row>
    <row r="53" spans="2:8" ht="12.75">
      <c r="B53" s="5">
        <f t="shared" si="10"/>
        <v>42</v>
      </c>
      <c r="C53" s="109"/>
      <c r="D53" s="110"/>
      <c r="E53" s="111"/>
      <c r="F53" s="112"/>
      <c r="G53" s="6">
        <f t="shared" si="11"/>
      </c>
      <c r="H53" s="6">
        <f t="shared" si="12"/>
      </c>
    </row>
    <row r="54" spans="2:8" ht="12.75">
      <c r="B54" s="5">
        <f t="shared" si="10"/>
        <v>43</v>
      </c>
      <c r="C54" s="109"/>
      <c r="D54" s="110"/>
      <c r="E54" s="111"/>
      <c r="F54" s="112"/>
      <c r="G54" s="6">
        <f t="shared" si="11"/>
      </c>
      <c r="H54" s="6">
        <f t="shared" si="12"/>
      </c>
    </row>
    <row r="55" spans="2:8" ht="12.75">
      <c r="B55" s="5">
        <f t="shared" si="10"/>
        <v>44</v>
      </c>
      <c r="C55" s="109"/>
      <c r="D55" s="110"/>
      <c r="E55" s="111"/>
      <c r="F55" s="112"/>
      <c r="G55" s="6">
        <f t="shared" si="11"/>
      </c>
      <c r="H55" s="6">
        <f t="shared" si="12"/>
      </c>
    </row>
    <row r="56" spans="2:8" ht="12.75">
      <c r="B56" s="5">
        <f t="shared" si="10"/>
        <v>45</v>
      </c>
      <c r="C56" s="109"/>
      <c r="D56" s="110"/>
      <c r="E56" s="111"/>
      <c r="F56" s="112"/>
      <c r="G56" s="6">
        <f t="shared" si="11"/>
      </c>
      <c r="H56" s="6">
        <f t="shared" si="12"/>
      </c>
    </row>
    <row r="57" spans="2:8" ht="12.75">
      <c r="B57" s="5">
        <f t="shared" si="10"/>
        <v>46</v>
      </c>
      <c r="C57" s="109"/>
      <c r="D57" s="110"/>
      <c r="E57" s="111"/>
      <c r="F57" s="112"/>
      <c r="G57" s="6">
        <f t="shared" si="11"/>
      </c>
      <c r="H57" s="6">
        <f t="shared" si="12"/>
      </c>
    </row>
    <row r="58" spans="2:8" ht="12.75">
      <c r="B58" s="5">
        <f t="shared" si="10"/>
        <v>47</v>
      </c>
      <c r="C58" s="109"/>
      <c r="D58" s="110"/>
      <c r="E58" s="111"/>
      <c r="F58" s="112"/>
      <c r="G58" s="6">
        <f t="shared" si="11"/>
      </c>
      <c r="H58" s="6">
        <f t="shared" si="12"/>
      </c>
    </row>
    <row r="59" spans="2:8" ht="12.75">
      <c r="B59" s="5">
        <f t="shared" si="10"/>
        <v>48</v>
      </c>
      <c r="C59" s="109"/>
      <c r="D59" s="110"/>
      <c r="E59" s="111"/>
      <c r="F59" s="112"/>
      <c r="G59" s="6">
        <f t="shared" si="11"/>
      </c>
      <c r="H59" s="6">
        <f t="shared" si="12"/>
      </c>
    </row>
    <row r="60" spans="2:8" ht="12.75">
      <c r="B60" s="5">
        <f t="shared" si="10"/>
        <v>49</v>
      </c>
      <c r="C60" s="109"/>
      <c r="D60" s="110"/>
      <c r="E60" s="111"/>
      <c r="F60" s="112"/>
      <c r="G60" s="6">
        <f t="shared" si="11"/>
      </c>
      <c r="H60" s="6">
        <f t="shared" si="12"/>
      </c>
    </row>
    <row r="61" spans="2:8" ht="12.75">
      <c r="B61" s="5">
        <f t="shared" si="10"/>
        <v>50</v>
      </c>
      <c r="C61" s="109"/>
      <c r="D61" s="110"/>
      <c r="E61" s="111"/>
      <c r="F61" s="112"/>
      <c r="G61" s="6">
        <f t="shared" si="11"/>
      </c>
      <c r="H61" s="6">
        <f t="shared" si="12"/>
      </c>
    </row>
    <row r="62" spans="2:8" ht="12.75">
      <c r="B62" s="5">
        <f aca="true" t="shared" si="13" ref="B62:B77">+B61+1</f>
        <v>51</v>
      </c>
      <c r="C62" s="109"/>
      <c r="D62" s="110"/>
      <c r="E62" s="111"/>
      <c r="F62" s="112"/>
      <c r="G62" s="6">
        <f t="shared" si="11"/>
      </c>
      <c r="H62" s="6">
        <f t="shared" si="12"/>
      </c>
    </row>
    <row r="63" spans="2:8" ht="12.75">
      <c r="B63" s="5">
        <f t="shared" si="13"/>
        <v>52</v>
      </c>
      <c r="C63" s="109"/>
      <c r="D63" s="110"/>
      <c r="E63" s="111"/>
      <c r="F63" s="112"/>
      <c r="G63" s="6">
        <f t="shared" si="11"/>
      </c>
      <c r="H63" s="6">
        <f t="shared" si="12"/>
      </c>
    </row>
    <row r="64" spans="2:8" ht="12.75">
      <c r="B64" s="5">
        <f t="shared" si="13"/>
        <v>53</v>
      </c>
      <c r="C64" s="109"/>
      <c r="D64" s="110"/>
      <c r="E64" s="111"/>
      <c r="F64" s="112"/>
      <c r="G64" s="6">
        <f t="shared" si="11"/>
      </c>
      <c r="H64" s="6">
        <f t="shared" si="12"/>
      </c>
    </row>
    <row r="65" spans="2:8" ht="12.75">
      <c r="B65" s="5">
        <f t="shared" si="13"/>
        <v>54</v>
      </c>
      <c r="C65" s="109"/>
      <c r="D65" s="110"/>
      <c r="E65" s="111"/>
      <c r="F65" s="112"/>
      <c r="G65" s="6">
        <f t="shared" si="11"/>
      </c>
      <c r="H65" s="6">
        <f t="shared" si="12"/>
      </c>
    </row>
    <row r="66" spans="2:8" ht="12.75">
      <c r="B66" s="5">
        <f t="shared" si="13"/>
        <v>55</v>
      </c>
      <c r="C66" s="109"/>
      <c r="D66" s="110"/>
      <c r="E66" s="111"/>
      <c r="F66" s="112"/>
      <c r="G66" s="6">
        <f t="shared" si="11"/>
      </c>
      <c r="H66" s="6">
        <f t="shared" si="12"/>
      </c>
    </row>
    <row r="67" spans="2:8" ht="12.75">
      <c r="B67" s="5">
        <f t="shared" si="13"/>
        <v>56</v>
      </c>
      <c r="C67" s="109"/>
      <c r="D67" s="110"/>
      <c r="E67" s="111"/>
      <c r="F67" s="112"/>
      <c r="G67" s="6">
        <f t="shared" si="11"/>
      </c>
      <c r="H67" s="6">
        <f t="shared" si="12"/>
      </c>
    </row>
    <row r="68" spans="2:8" ht="12.75">
      <c r="B68" s="5">
        <f t="shared" si="13"/>
        <v>57</v>
      </c>
      <c r="C68" s="109"/>
      <c r="D68" s="110"/>
      <c r="E68" s="111"/>
      <c r="F68" s="112"/>
      <c r="G68" s="6">
        <f t="shared" si="11"/>
      </c>
      <c r="H68" s="6">
        <f t="shared" si="12"/>
      </c>
    </row>
    <row r="69" spans="2:8" ht="12.75">
      <c r="B69" s="5">
        <f t="shared" si="13"/>
        <v>58</v>
      </c>
      <c r="C69" s="109"/>
      <c r="D69" s="110"/>
      <c r="E69" s="111"/>
      <c r="F69" s="112"/>
      <c r="G69" s="6">
        <f t="shared" si="11"/>
      </c>
      <c r="H69" s="6">
        <f t="shared" si="12"/>
      </c>
    </row>
    <row r="70" spans="2:8" ht="12.75">
      <c r="B70" s="5">
        <f t="shared" si="13"/>
        <v>59</v>
      </c>
      <c r="C70" s="109"/>
      <c r="D70" s="110"/>
      <c r="E70" s="111"/>
      <c r="F70" s="112"/>
      <c r="G70" s="6">
        <f t="shared" si="11"/>
      </c>
      <c r="H70" s="6">
        <f t="shared" si="12"/>
      </c>
    </row>
    <row r="71" spans="2:8" ht="12.75">
      <c r="B71" s="5">
        <f t="shared" si="13"/>
        <v>60</v>
      </c>
      <c r="C71" s="109"/>
      <c r="D71" s="110"/>
      <c r="E71" s="111"/>
      <c r="F71" s="112"/>
      <c r="G71" s="6">
        <f t="shared" si="11"/>
      </c>
      <c r="H71" s="6">
        <f t="shared" si="12"/>
      </c>
    </row>
    <row r="72" spans="2:8" ht="12.75">
      <c r="B72" s="5">
        <f t="shared" si="13"/>
        <v>61</v>
      </c>
      <c r="C72" s="109"/>
      <c r="D72" s="110"/>
      <c r="E72" s="111"/>
      <c r="F72" s="112"/>
      <c r="G72" s="6">
        <f t="shared" si="11"/>
      </c>
      <c r="H72" s="6">
        <f t="shared" si="12"/>
      </c>
    </row>
    <row r="73" spans="2:8" ht="12.75">
      <c r="B73" s="5">
        <f t="shared" si="13"/>
        <v>62</v>
      </c>
      <c r="C73" s="109"/>
      <c r="D73" s="110"/>
      <c r="E73" s="111"/>
      <c r="F73" s="112"/>
      <c r="G73" s="6">
        <f t="shared" si="11"/>
      </c>
      <c r="H73" s="6">
        <f t="shared" si="12"/>
      </c>
    </row>
    <row r="74" spans="2:8" ht="12.75">
      <c r="B74" s="5">
        <f t="shared" si="13"/>
        <v>63</v>
      </c>
      <c r="C74" s="109"/>
      <c r="D74" s="110"/>
      <c r="E74" s="111"/>
      <c r="F74" s="112"/>
      <c r="G74" s="6">
        <f t="shared" si="11"/>
      </c>
      <c r="H74" s="6">
        <f t="shared" si="12"/>
      </c>
    </row>
    <row r="75" spans="2:8" ht="12.75">
      <c r="B75" s="5">
        <f t="shared" si="13"/>
        <v>64</v>
      </c>
      <c r="C75" s="109"/>
      <c r="D75" s="110"/>
      <c r="E75" s="111"/>
      <c r="F75" s="112"/>
      <c r="G75" s="6">
        <f t="shared" si="11"/>
      </c>
      <c r="H75" s="6">
        <f t="shared" si="12"/>
      </c>
    </row>
    <row r="76" spans="2:8" ht="12.75">
      <c r="B76" s="5">
        <f t="shared" si="13"/>
        <v>65</v>
      </c>
      <c r="C76" s="109"/>
      <c r="D76" s="110"/>
      <c r="E76" s="111"/>
      <c r="F76" s="112"/>
      <c r="G76" s="6">
        <f t="shared" si="11"/>
      </c>
      <c r="H76" s="6">
        <f t="shared" si="12"/>
      </c>
    </row>
    <row r="77" spans="2:8" ht="12.75">
      <c r="B77" s="5">
        <f t="shared" si="13"/>
        <v>66</v>
      </c>
      <c r="C77" s="109"/>
      <c r="D77" s="110"/>
      <c r="E77" s="111"/>
      <c r="F77" s="112"/>
      <c r="G77" s="6">
        <f t="shared" si="11"/>
      </c>
      <c r="H77" s="6">
        <f t="shared" si="12"/>
      </c>
    </row>
    <row r="78" spans="2:8" ht="12.75">
      <c r="B78" s="5">
        <f aca="true" t="shared" si="14" ref="B78:B93">+B77+1</f>
        <v>67</v>
      </c>
      <c r="C78" s="109"/>
      <c r="D78" s="110"/>
      <c r="E78" s="111"/>
      <c r="F78" s="112"/>
      <c r="G78" s="6">
        <f t="shared" si="11"/>
      </c>
      <c r="H78" s="6">
        <f t="shared" si="12"/>
      </c>
    </row>
    <row r="79" spans="2:8" ht="12.75">
      <c r="B79" s="5">
        <f t="shared" si="14"/>
        <v>68</v>
      </c>
      <c r="C79" s="109"/>
      <c r="D79" s="110"/>
      <c r="E79" s="111"/>
      <c r="F79" s="112"/>
      <c r="G79" s="6">
        <f t="shared" si="11"/>
      </c>
      <c r="H79" s="6">
        <f t="shared" si="12"/>
      </c>
    </row>
    <row r="80" spans="2:8" ht="12.75">
      <c r="B80" s="5">
        <f t="shared" si="14"/>
        <v>69</v>
      </c>
      <c r="C80" s="109"/>
      <c r="D80" s="110"/>
      <c r="E80" s="111"/>
      <c r="F80" s="112"/>
      <c r="G80" s="6">
        <f t="shared" si="11"/>
      </c>
      <c r="H80" s="6">
        <f t="shared" si="12"/>
      </c>
    </row>
    <row r="81" spans="2:8" ht="12.75">
      <c r="B81" s="5">
        <f t="shared" si="14"/>
        <v>70</v>
      </c>
      <c r="C81" s="109"/>
      <c r="D81" s="110"/>
      <c r="E81" s="111"/>
      <c r="F81" s="112"/>
      <c r="G81" s="6">
        <f t="shared" si="11"/>
      </c>
      <c r="H81" s="6">
        <f t="shared" si="12"/>
      </c>
    </row>
    <row r="82" spans="2:8" ht="12.75">
      <c r="B82" s="5">
        <f t="shared" si="14"/>
        <v>71</v>
      </c>
      <c r="C82" s="109"/>
      <c r="D82" s="110"/>
      <c r="E82" s="111"/>
      <c r="F82" s="112"/>
      <c r="G82" s="6">
        <f t="shared" si="11"/>
      </c>
      <c r="H82" s="6">
        <f t="shared" si="12"/>
      </c>
    </row>
    <row r="83" spans="2:8" ht="12.75">
      <c r="B83" s="5">
        <f t="shared" si="14"/>
        <v>72</v>
      </c>
      <c r="C83" s="109"/>
      <c r="D83" s="110"/>
      <c r="E83" s="111"/>
      <c r="F83" s="112"/>
      <c r="G83" s="6">
        <f t="shared" si="11"/>
      </c>
      <c r="H83" s="6">
        <f t="shared" si="12"/>
      </c>
    </row>
    <row r="84" spans="2:8" ht="12.75">
      <c r="B84" s="5">
        <f t="shared" si="14"/>
        <v>73</v>
      </c>
      <c r="C84" s="109"/>
      <c r="D84" s="110"/>
      <c r="E84" s="111"/>
      <c r="F84" s="112"/>
      <c r="G84" s="6">
        <f t="shared" si="11"/>
      </c>
      <c r="H84" s="6">
        <f t="shared" si="12"/>
      </c>
    </row>
    <row r="85" spans="2:8" ht="12.75">
      <c r="B85" s="5">
        <f t="shared" si="14"/>
        <v>74</v>
      </c>
      <c r="C85" s="109"/>
      <c r="D85" s="110"/>
      <c r="E85" s="111"/>
      <c r="F85" s="112"/>
      <c r="G85" s="6">
        <f t="shared" si="11"/>
      </c>
      <c r="H85" s="6">
        <f t="shared" si="12"/>
      </c>
    </row>
    <row r="86" spans="2:8" ht="12.75">
      <c r="B86" s="5">
        <f t="shared" si="14"/>
        <v>75</v>
      </c>
      <c r="C86" s="109"/>
      <c r="D86" s="110"/>
      <c r="E86" s="111"/>
      <c r="F86" s="112"/>
      <c r="G86" s="6">
        <f t="shared" si="11"/>
      </c>
      <c r="H86" s="6">
        <f t="shared" si="12"/>
      </c>
    </row>
    <row r="87" spans="2:8" ht="12.75">
      <c r="B87" s="5">
        <f t="shared" si="14"/>
        <v>76</v>
      </c>
      <c r="C87" s="109"/>
      <c r="D87" s="110"/>
      <c r="E87" s="111"/>
      <c r="F87" s="112"/>
      <c r="G87" s="6">
        <f t="shared" si="11"/>
      </c>
      <c r="H87" s="6">
        <f t="shared" si="12"/>
      </c>
    </row>
    <row r="88" spans="2:8" ht="12.75">
      <c r="B88" s="5">
        <f t="shared" si="14"/>
        <v>77</v>
      </c>
      <c r="C88" s="109"/>
      <c r="D88" s="110"/>
      <c r="E88" s="111"/>
      <c r="F88" s="112"/>
      <c r="G88" s="6">
        <f t="shared" si="11"/>
      </c>
      <c r="H88" s="6">
        <f t="shared" si="12"/>
      </c>
    </row>
    <row r="89" spans="2:8" ht="12.75">
      <c r="B89" s="5">
        <f t="shared" si="14"/>
        <v>78</v>
      </c>
      <c r="C89" s="109"/>
      <c r="D89" s="110"/>
      <c r="E89" s="111"/>
      <c r="F89" s="112"/>
      <c r="G89" s="6">
        <f t="shared" si="11"/>
      </c>
      <c r="H89" s="6">
        <f t="shared" si="12"/>
      </c>
    </row>
    <row r="90" spans="2:8" ht="12.75">
      <c r="B90" s="5">
        <f t="shared" si="14"/>
        <v>79</v>
      </c>
      <c r="C90" s="109"/>
      <c r="D90" s="110"/>
      <c r="E90" s="111"/>
      <c r="F90" s="112"/>
      <c r="G90" s="6">
        <f t="shared" si="11"/>
      </c>
      <c r="H90" s="6">
        <f t="shared" si="12"/>
      </c>
    </row>
    <row r="91" spans="2:8" ht="12.75">
      <c r="B91" s="5">
        <f t="shared" si="14"/>
        <v>80</v>
      </c>
      <c r="C91" s="109"/>
      <c r="D91" s="110"/>
      <c r="E91" s="111"/>
      <c r="F91" s="112"/>
      <c r="G91" s="6">
        <f t="shared" si="11"/>
      </c>
      <c r="H91" s="6">
        <f t="shared" si="12"/>
      </c>
    </row>
    <row r="92" spans="2:8" ht="12.75">
      <c r="B92" s="5">
        <f t="shared" si="14"/>
        <v>81</v>
      </c>
      <c r="C92" s="109"/>
      <c r="D92" s="110"/>
      <c r="E92" s="111"/>
      <c r="F92" s="112"/>
      <c r="G92" s="6">
        <f t="shared" si="11"/>
      </c>
      <c r="H92" s="6">
        <f t="shared" si="12"/>
      </c>
    </row>
    <row r="93" spans="2:8" ht="12.75">
      <c r="B93" s="5">
        <f t="shared" si="14"/>
        <v>82</v>
      </c>
      <c r="C93" s="109"/>
      <c r="D93" s="110"/>
      <c r="E93" s="111"/>
      <c r="F93" s="112"/>
      <c r="G93" s="6">
        <f t="shared" si="11"/>
      </c>
      <c r="H93" s="6">
        <f t="shared" si="12"/>
      </c>
    </row>
    <row r="94" spans="2:8" ht="12.75">
      <c r="B94" s="5">
        <f aca="true" t="shared" si="15" ref="B94:B109">+B93+1</f>
        <v>83</v>
      </c>
      <c r="C94" s="109"/>
      <c r="D94" s="110"/>
      <c r="E94" s="111"/>
      <c r="F94" s="112"/>
      <c r="G94" s="6">
        <f t="shared" si="11"/>
      </c>
      <c r="H94" s="6">
        <f t="shared" si="12"/>
      </c>
    </row>
    <row r="95" spans="2:8" ht="12.75">
      <c r="B95" s="5">
        <f t="shared" si="15"/>
        <v>84</v>
      </c>
      <c r="C95" s="109"/>
      <c r="D95" s="110"/>
      <c r="E95" s="111"/>
      <c r="F95" s="112"/>
      <c r="G95" s="6">
        <f t="shared" si="11"/>
      </c>
      <c r="H95" s="6">
        <f t="shared" si="12"/>
      </c>
    </row>
    <row r="96" spans="2:8" ht="12.75">
      <c r="B96" s="5">
        <f t="shared" si="15"/>
        <v>85</v>
      </c>
      <c r="C96" s="109"/>
      <c r="D96" s="110"/>
      <c r="E96" s="111"/>
      <c r="F96" s="112"/>
      <c r="G96" s="6">
        <f t="shared" si="11"/>
      </c>
      <c r="H96" s="6">
        <f t="shared" si="12"/>
      </c>
    </row>
    <row r="97" spans="2:8" ht="12.75">
      <c r="B97" s="5">
        <f t="shared" si="15"/>
        <v>86</v>
      </c>
      <c r="C97" s="109"/>
      <c r="D97" s="110"/>
      <c r="E97" s="111"/>
      <c r="F97" s="112"/>
      <c r="G97" s="6">
        <f t="shared" si="11"/>
      </c>
      <c r="H97" s="6">
        <f t="shared" si="12"/>
      </c>
    </row>
    <row r="98" spans="2:8" ht="12.75">
      <c r="B98" s="5">
        <f t="shared" si="15"/>
        <v>87</v>
      </c>
      <c r="C98" s="109"/>
      <c r="D98" s="110"/>
      <c r="E98" s="111"/>
      <c r="F98" s="112"/>
      <c r="G98" s="6">
        <f t="shared" si="11"/>
      </c>
      <c r="H98" s="6">
        <f t="shared" si="12"/>
      </c>
    </row>
    <row r="99" spans="2:8" ht="12.75">
      <c r="B99" s="5">
        <f t="shared" si="15"/>
        <v>88</v>
      </c>
      <c r="C99" s="109"/>
      <c r="D99" s="110"/>
      <c r="E99" s="111"/>
      <c r="F99" s="112"/>
      <c r="G99" s="6">
        <f t="shared" si="11"/>
      </c>
      <c r="H99" s="6">
        <f t="shared" si="12"/>
      </c>
    </row>
    <row r="100" spans="2:8" ht="12.75">
      <c r="B100" s="5">
        <f t="shared" si="15"/>
        <v>89</v>
      </c>
      <c r="C100" s="109"/>
      <c r="D100" s="110"/>
      <c r="E100" s="111"/>
      <c r="F100" s="112"/>
      <c r="G100" s="6">
        <f t="shared" si="11"/>
      </c>
      <c r="H100" s="6">
        <f t="shared" si="12"/>
      </c>
    </row>
    <row r="101" spans="2:8" ht="12.75">
      <c r="B101" s="5">
        <f t="shared" si="15"/>
        <v>90</v>
      </c>
      <c r="C101" s="109"/>
      <c r="D101" s="110"/>
      <c r="E101" s="111"/>
      <c r="F101" s="112"/>
      <c r="G101" s="6">
        <f t="shared" si="11"/>
      </c>
      <c r="H101" s="6">
        <f t="shared" si="12"/>
      </c>
    </row>
    <row r="102" spans="2:8" ht="12.75">
      <c r="B102" s="5">
        <f t="shared" si="15"/>
        <v>91</v>
      </c>
      <c r="C102" s="109"/>
      <c r="D102" s="110"/>
      <c r="E102" s="111"/>
      <c r="F102" s="112"/>
      <c r="G102" s="6">
        <f t="shared" si="11"/>
      </c>
      <c r="H102" s="6">
        <f t="shared" si="12"/>
      </c>
    </row>
    <row r="103" spans="2:8" ht="12.75">
      <c r="B103" s="5">
        <f t="shared" si="15"/>
        <v>92</v>
      </c>
      <c r="C103" s="109"/>
      <c r="D103" s="110"/>
      <c r="E103" s="111"/>
      <c r="F103" s="112"/>
      <c r="G103" s="6">
        <f t="shared" si="11"/>
      </c>
      <c r="H103" s="6">
        <f t="shared" si="12"/>
      </c>
    </row>
    <row r="104" spans="2:8" ht="12.75">
      <c r="B104" s="5">
        <f t="shared" si="15"/>
        <v>93</v>
      </c>
      <c r="C104" s="109"/>
      <c r="D104" s="110"/>
      <c r="E104" s="111"/>
      <c r="F104" s="112"/>
      <c r="G104" s="6">
        <f t="shared" si="11"/>
      </c>
      <c r="H104" s="6">
        <f t="shared" si="12"/>
      </c>
    </row>
    <row r="105" spans="2:8" ht="12.75">
      <c r="B105" s="5">
        <f t="shared" si="15"/>
        <v>94</v>
      </c>
      <c r="C105" s="109"/>
      <c r="D105" s="110"/>
      <c r="E105" s="111"/>
      <c r="F105" s="112"/>
      <c r="G105" s="6">
        <f t="shared" si="11"/>
      </c>
      <c r="H105" s="6">
        <f t="shared" si="12"/>
      </c>
    </row>
    <row r="106" spans="2:8" ht="12.75">
      <c r="B106" s="5">
        <f t="shared" si="15"/>
        <v>95</v>
      </c>
      <c r="C106" s="109"/>
      <c r="D106" s="110"/>
      <c r="E106" s="111"/>
      <c r="F106" s="112"/>
      <c r="G106" s="6">
        <f t="shared" si="11"/>
      </c>
      <c r="H106" s="6">
        <f t="shared" si="12"/>
      </c>
    </row>
    <row r="107" spans="2:8" ht="12.75">
      <c r="B107" s="5">
        <f t="shared" si="15"/>
        <v>96</v>
      </c>
      <c r="C107" s="109"/>
      <c r="D107" s="110"/>
      <c r="E107" s="111"/>
      <c r="F107" s="112"/>
      <c r="G107" s="6">
        <f t="shared" si="11"/>
      </c>
      <c r="H107" s="6">
        <f t="shared" si="12"/>
      </c>
    </row>
    <row r="108" spans="2:8" ht="12.75">
      <c r="B108" s="5">
        <f t="shared" si="15"/>
        <v>97</v>
      </c>
      <c r="C108" s="109"/>
      <c r="D108" s="110"/>
      <c r="E108" s="111"/>
      <c r="F108" s="112"/>
      <c r="G108" s="6">
        <f t="shared" si="11"/>
      </c>
      <c r="H108" s="6">
        <f t="shared" si="12"/>
      </c>
    </row>
    <row r="109" spans="2:8" ht="12.75">
      <c r="B109" s="5">
        <f t="shared" si="15"/>
        <v>98</v>
      </c>
      <c r="C109" s="109"/>
      <c r="D109" s="110"/>
      <c r="E109" s="111"/>
      <c r="F109" s="112"/>
      <c r="G109" s="6">
        <f>IF(E109&lt;&gt;0,+E109/100*D109/6.25,"")</f>
      </c>
      <c r="H109" s="6">
        <f>IF(F109&lt;&gt;0,+F109/100*D109,"")</f>
      </c>
    </row>
    <row r="110" spans="2:8" ht="12.75">
      <c r="B110" s="5">
        <f>+B109+1</f>
        <v>99</v>
      </c>
      <c r="C110" s="109"/>
      <c r="D110" s="110"/>
      <c r="E110" s="111"/>
      <c r="F110" s="112"/>
      <c r="G110" s="6">
        <f>IF(E110&lt;&gt;0,+E110/100*D110/6.25,"")</f>
      </c>
      <c r="H110" s="6">
        <f>IF(F110&lt;&gt;0,+F110/100*D110,"")</f>
      </c>
    </row>
    <row r="111" spans="2:8" ht="12.75">
      <c r="B111" s="5">
        <f>+B110+1</f>
        <v>100</v>
      </c>
      <c r="C111" s="109"/>
      <c r="D111" s="110"/>
      <c r="E111" s="111"/>
      <c r="F111" s="112"/>
      <c r="G111" s="6">
        <f>IF(E111&lt;&gt;0,+E111/100*D111/6.25,"")</f>
      </c>
      <c r="H111" s="6">
        <f>IF(F111&lt;&gt;0,+F111/100*D111,"")</f>
      </c>
    </row>
    <row r="112" spans="3:8" ht="12.75">
      <c r="C112" s="109"/>
      <c r="D112" s="110"/>
      <c r="E112" s="111"/>
      <c r="F112" s="112"/>
      <c r="G112" s="6">
        <f>IF(E112&lt;&gt;0,+E112/100*D112/6.25,"")</f>
      </c>
      <c r="H112" s="6">
        <f>IF(F112&lt;&gt;0,+F112/100*D112,"")</f>
      </c>
    </row>
    <row r="113" spans="3:8" ht="12.75">
      <c r="C113" s="109"/>
      <c r="D113" s="110"/>
      <c r="E113" s="111"/>
      <c r="F113" s="112"/>
      <c r="G113" s="6">
        <f>IF(E113&lt;&gt;0,+E113/100*D113/6.25,"")</f>
      </c>
      <c r="H113" s="6">
        <f>IF(F113&lt;&gt;0,+F113/100*D113,"")</f>
      </c>
    </row>
  </sheetData>
  <sheetProtection password="DC87"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phosphore&amp;C&amp;"Arial,Gras"&amp;14Aliments achetés&amp;RCorpen modifié
pour le Québec
</oddHeader>
    <oddFooter>&amp;R&amp;F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H52"/>
  <sheetViews>
    <sheetView showGridLines="0" showRowColHeaders="0" showZeros="0" showOutlineSymbols="0" zoomScale="80" zoomScaleNormal="80" workbookViewId="0" topLeftCell="A1">
      <selection activeCell="B6" sqref="B6"/>
    </sheetView>
  </sheetViews>
  <sheetFormatPr defaultColWidth="11.421875" defaultRowHeight="12.75"/>
  <cols>
    <col min="1" max="1" width="6.7109375" style="0" customWidth="1"/>
    <col min="2" max="2" width="29.140625" style="0" customWidth="1"/>
    <col min="3" max="3" width="11.140625" style="0" customWidth="1"/>
    <col min="4" max="5" width="10.28125" style="0" customWidth="1"/>
    <col min="6" max="7" width="11.140625" style="0" customWidth="1"/>
    <col min="8" max="8" width="10.28125" style="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7" ht="12.75">
      <c r="A2" s="54"/>
      <c r="B2" s="51" t="s">
        <v>15</v>
      </c>
      <c r="C2" s="135">
        <f>IF(Elevage!C2&lt;&gt;0,Elevage!C2,"")</f>
      </c>
      <c r="D2" s="10"/>
      <c r="E2" s="10"/>
      <c r="F2" s="10"/>
      <c r="G2" s="11"/>
    </row>
    <row r="3" spans="1:7" ht="12.75">
      <c r="A3" s="54"/>
      <c r="B3" s="52" t="s">
        <v>16</v>
      </c>
      <c r="C3" s="8">
        <f>IF(Elevage!D3&lt;&gt;0,Elevage!D3,"")</f>
      </c>
      <c r="D3" s="12"/>
      <c r="E3" s="12"/>
      <c r="F3" s="12"/>
      <c r="G3" s="13"/>
    </row>
    <row r="4" spans="1:7" ht="12.75">
      <c r="A4" s="54"/>
      <c r="B4" s="52"/>
      <c r="C4" s="8">
        <f>IF(Elevage!C4&lt;&gt;0,Elevage!C4,"")</f>
      </c>
      <c r="D4" s="12"/>
      <c r="E4" s="12"/>
      <c r="F4" s="12"/>
      <c r="G4" s="13"/>
    </row>
    <row r="5" spans="1:7" ht="12.75">
      <c r="A5" s="54"/>
      <c r="B5" s="53"/>
      <c r="C5" s="136">
        <f>IF(Elevage!C5&lt;&gt;0,Elevage!C5,"")</f>
      </c>
      <c r="D5" s="14"/>
      <c r="E5" s="14"/>
      <c r="F5" s="14"/>
      <c r="G5" s="15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8" ht="12.75">
      <c r="A7" s="54"/>
      <c r="B7" s="55" t="s">
        <v>80</v>
      </c>
      <c r="C7" s="54"/>
      <c r="D7" s="54"/>
      <c r="E7" s="54"/>
      <c r="F7" s="54"/>
      <c r="G7" s="54"/>
      <c r="H7" s="54"/>
    </row>
    <row r="8" spans="1:8" ht="12.75">
      <c r="A8" s="54"/>
      <c r="B8" s="54"/>
      <c r="C8" s="54"/>
      <c r="D8" s="54"/>
      <c r="E8" s="54"/>
      <c r="F8" s="54"/>
      <c r="G8" s="54"/>
      <c r="H8" s="54"/>
    </row>
    <row r="9" spans="1:8" ht="12.75">
      <c r="A9" s="54"/>
      <c r="B9" s="60" t="s">
        <v>81</v>
      </c>
      <c r="C9" s="1">
        <f>Elevage!J11</f>
        <v>37622</v>
      </c>
      <c r="D9" s="54"/>
      <c r="E9" s="65" t="s">
        <v>149</v>
      </c>
      <c r="F9" s="171"/>
      <c r="G9" s="30"/>
      <c r="H9" s="54"/>
    </row>
    <row r="10" spans="1:8" ht="12.75">
      <c r="A10" s="54"/>
      <c r="B10" s="49" t="s">
        <v>82</v>
      </c>
      <c r="C10" s="2">
        <f>Elevage!J12</f>
        <v>37986</v>
      </c>
      <c r="D10" s="54"/>
      <c r="E10" s="169"/>
      <c r="F10" s="59" t="s">
        <v>271</v>
      </c>
      <c r="G10" s="170" t="s">
        <v>151</v>
      </c>
      <c r="H10" s="54"/>
    </row>
    <row r="11" spans="1:8" ht="12.75">
      <c r="A11" s="54"/>
      <c r="B11" s="50" t="s">
        <v>23</v>
      </c>
      <c r="C11" s="3">
        <f>+C10-C9+1</f>
        <v>365</v>
      </c>
      <c r="D11" s="54"/>
      <c r="E11" s="165" t="s">
        <v>44</v>
      </c>
      <c r="F11" s="6" t="str">
        <f>IF(C12&gt;0,Achats_Aliments!D12/C12," ")</f>
        <v> </v>
      </c>
      <c r="G11" s="31"/>
      <c r="H11" s="54"/>
    </row>
    <row r="12" spans="1:8" ht="12.75">
      <c r="A12" s="54"/>
      <c r="B12" s="57" t="s">
        <v>43</v>
      </c>
      <c r="C12" s="4">
        <f>(Elevage!C18+Elevage!D18)/2</f>
        <v>0</v>
      </c>
      <c r="D12" s="54"/>
      <c r="E12" s="165" t="s">
        <v>147</v>
      </c>
      <c r="F12" s="6">
        <f>IF(Achats_Aliments!D25&gt;0,Achats_Aliments!D25/Standard!C35,0)</f>
        <v>0</v>
      </c>
      <c r="G12" s="166">
        <f>IF(F12&gt;0,F12/(Elevage!S27),0)</f>
        <v>0</v>
      </c>
      <c r="H12" s="54"/>
    </row>
    <row r="13" spans="1:8" ht="12.75">
      <c r="A13" s="54"/>
      <c r="B13" s="57" t="s">
        <v>45</v>
      </c>
      <c r="C13" s="4">
        <f>(Elevage!C19+Elevage!D19)/2</f>
        <v>0</v>
      </c>
      <c r="D13" s="54"/>
      <c r="E13" s="167" t="s">
        <v>150</v>
      </c>
      <c r="F13" s="7">
        <f>IF(Achats_Aliments!D38&gt;0,Achats_Aliments!D38/Standard!C26,0)</f>
        <v>0</v>
      </c>
      <c r="G13" s="168">
        <f>IF(F13&gt;0,F13/(Elevage!S29),0)</f>
        <v>0</v>
      </c>
      <c r="H13" s="54"/>
    </row>
    <row r="14" spans="1:8" ht="12.75">
      <c r="A14" s="54"/>
      <c r="B14" s="57" t="s">
        <v>83</v>
      </c>
      <c r="C14" s="61">
        <f>IF(C12&gt;0,(+SUM(Elevage!D20:D21)-SUM(Elevage!C20:C21)+SUM(Elevage!C26:C29)-SUM(Elevage!C35:C36))/C12,0)</f>
        <v>0</v>
      </c>
      <c r="D14" s="54"/>
      <c r="E14" s="54"/>
      <c r="F14" s="54"/>
      <c r="G14" s="54"/>
      <c r="H14" s="54"/>
    </row>
    <row r="15" spans="1:8" ht="12.75">
      <c r="A15" s="54"/>
      <c r="B15" s="57" t="s">
        <v>290</v>
      </c>
      <c r="C15" s="62" t="e">
        <f>G45/(G49-Elevage!K34)</f>
        <v>#DIV/0!</v>
      </c>
      <c r="D15" s="54"/>
      <c r="E15" s="409" t="s">
        <v>269</v>
      </c>
      <c r="F15" s="410"/>
      <c r="G15" s="411"/>
      <c r="H15" s="54"/>
    </row>
    <row r="16" spans="1:8" ht="12.75">
      <c r="A16" s="54"/>
      <c r="B16" s="57" t="s">
        <v>84</v>
      </c>
      <c r="C16" s="63" t="e">
        <f>C29/G49*1000</f>
        <v>#DIV/0!</v>
      </c>
      <c r="D16" s="54"/>
      <c r="E16" s="169"/>
      <c r="F16" s="59" t="s">
        <v>271</v>
      </c>
      <c r="G16" s="170" t="s">
        <v>270</v>
      </c>
      <c r="H16" s="54"/>
    </row>
    <row r="17" spans="1:8" ht="12.75">
      <c r="A17" s="54"/>
      <c r="B17" s="57" t="s">
        <v>85</v>
      </c>
      <c r="C17" s="63" t="e">
        <f>C31/G49*1000</f>
        <v>#DIV/0!</v>
      </c>
      <c r="D17" s="54"/>
      <c r="E17" s="165" t="s">
        <v>44</v>
      </c>
      <c r="F17" s="6">
        <v>1100</v>
      </c>
      <c r="G17" s="324">
        <v>100</v>
      </c>
      <c r="H17" s="54"/>
    </row>
    <row r="18" spans="1:8" ht="12.75">
      <c r="A18" s="54"/>
      <c r="B18" s="54"/>
      <c r="C18" s="54"/>
      <c r="D18" s="54"/>
      <c r="E18" s="165" t="s">
        <v>147</v>
      </c>
      <c r="F18" s="325">
        <v>23.4</v>
      </c>
      <c r="G18" s="327">
        <v>1.6</v>
      </c>
      <c r="H18" s="54"/>
    </row>
    <row r="19" spans="1:8" ht="12.75">
      <c r="A19" s="54"/>
      <c r="B19" s="54"/>
      <c r="C19" s="54"/>
      <c r="D19" s="54"/>
      <c r="E19" s="167" t="s">
        <v>150</v>
      </c>
      <c r="F19" s="7">
        <v>240</v>
      </c>
      <c r="G19" s="326">
        <v>18</v>
      </c>
      <c r="H19" s="54"/>
    </row>
    <row r="20" spans="1:8" ht="12.75">
      <c r="A20" s="54"/>
      <c r="B20" s="55" t="s">
        <v>86</v>
      </c>
      <c r="C20" s="54"/>
      <c r="D20" s="54"/>
      <c r="E20" s="412" t="s">
        <v>272</v>
      </c>
      <c r="F20" s="413"/>
      <c r="G20" s="414"/>
      <c r="H20" s="54"/>
    </row>
    <row r="21" spans="1:8" ht="12.75">
      <c r="A21" s="54"/>
      <c r="B21" s="54"/>
      <c r="C21" s="57" t="s">
        <v>87</v>
      </c>
      <c r="D21" s="184" t="s">
        <v>88</v>
      </c>
      <c r="E21" s="415" t="s">
        <v>274</v>
      </c>
      <c r="F21" s="416"/>
      <c r="G21" s="417"/>
      <c r="H21" s="54"/>
    </row>
    <row r="22" spans="1:8" ht="12.75">
      <c r="A22" s="54"/>
      <c r="B22" s="57" t="s">
        <v>89</v>
      </c>
      <c r="C22" s="113">
        <v>25</v>
      </c>
      <c r="D22" s="328">
        <v>5</v>
      </c>
      <c r="E22" s="418" t="s">
        <v>273</v>
      </c>
      <c r="F22" s="419"/>
      <c r="G22" s="420"/>
      <c r="H22" s="54"/>
    </row>
    <row r="23" spans="1:8" ht="12.75">
      <c r="A23" s="54"/>
      <c r="B23" s="54"/>
      <c r="C23" s="54"/>
      <c r="D23" s="54"/>
      <c r="E23" s="54"/>
      <c r="F23" s="54"/>
      <c r="G23" s="54"/>
      <c r="H23" s="54"/>
    </row>
    <row r="24" spans="1:4" ht="12.75">
      <c r="A24" s="54"/>
      <c r="B24" s="54"/>
      <c r="C24" s="65" t="s">
        <v>73</v>
      </c>
      <c r="D24" s="58" t="s">
        <v>73</v>
      </c>
    </row>
    <row r="25" spans="1:4" ht="12.75">
      <c r="A25" s="54"/>
      <c r="B25" s="54"/>
      <c r="C25" s="59" t="s">
        <v>54</v>
      </c>
      <c r="D25" s="59" t="s">
        <v>90</v>
      </c>
    </row>
    <row r="26" spans="1:4" ht="12.75">
      <c r="A26" s="54"/>
      <c r="B26" s="67" t="s">
        <v>91</v>
      </c>
      <c r="C26" s="68">
        <f>G46</f>
        <v>0</v>
      </c>
      <c r="D26" s="4" t="s">
        <v>66</v>
      </c>
    </row>
    <row r="27" spans="1:4" ht="12.75">
      <c r="A27" s="54"/>
      <c r="B27" s="67" t="s">
        <v>92</v>
      </c>
      <c r="C27" s="68">
        <f>Elevage!K22</f>
        <v>0</v>
      </c>
      <c r="D27" s="70" t="e">
        <f>C27/$C$26</f>
        <v>#DIV/0!</v>
      </c>
    </row>
    <row r="28" spans="1:4" ht="12.75">
      <c r="A28" s="54"/>
      <c r="B28" s="67" t="s">
        <v>93</v>
      </c>
      <c r="C28" s="68">
        <f>G50</f>
        <v>0</v>
      </c>
      <c r="D28" s="70" t="e">
        <f>C28/$C$26</f>
        <v>#DIV/0!</v>
      </c>
    </row>
    <row r="29" spans="1:8" ht="12.75">
      <c r="A29" s="54"/>
      <c r="B29" s="67" t="s">
        <v>94</v>
      </c>
      <c r="C29" s="68">
        <f>C26-C27-C28</f>
        <v>0</v>
      </c>
      <c r="D29" s="70" t="e">
        <f>C29/$C$26</f>
        <v>#DIV/0!</v>
      </c>
      <c r="E29" s="69"/>
      <c r="F29" s="69"/>
      <c r="G29" s="54"/>
      <c r="H29" s="54"/>
    </row>
    <row r="30" spans="1:8" ht="12.75">
      <c r="A30" s="54"/>
      <c r="B30" s="67" t="s">
        <v>95</v>
      </c>
      <c r="C30" s="68">
        <f>C29*C22/100+C29*(1-C22/100)*D22/100</f>
        <v>0</v>
      </c>
      <c r="D30" s="70" t="e">
        <f>C30/$C$26</f>
        <v>#DIV/0!</v>
      </c>
      <c r="E30" s="69"/>
      <c r="F30" s="69"/>
      <c r="G30" s="54"/>
      <c r="H30" s="54"/>
    </row>
    <row r="31" spans="1:8" ht="12.75">
      <c r="A31" s="54"/>
      <c r="B31" s="67" t="s">
        <v>96</v>
      </c>
      <c r="C31" s="140">
        <f>C29-C30</f>
        <v>0</v>
      </c>
      <c r="D31" s="70" t="e">
        <f>C31/$C$26</f>
        <v>#DIV/0!</v>
      </c>
      <c r="E31" s="64"/>
      <c r="F31" s="64"/>
      <c r="G31" s="54"/>
      <c r="H31" s="54"/>
    </row>
    <row r="32" spans="1:8" ht="12.75">
      <c r="A32" s="54"/>
      <c r="B32" s="54"/>
      <c r="C32" s="54"/>
      <c r="D32" s="54"/>
      <c r="E32" s="71"/>
      <c r="F32" s="71"/>
      <c r="G32" s="54"/>
      <c r="H32" s="54"/>
    </row>
    <row r="33" spans="1:8" ht="12.75">
      <c r="A33" s="54"/>
      <c r="B33" s="55" t="s">
        <v>97</v>
      </c>
      <c r="C33" s="54"/>
      <c r="D33" s="54"/>
      <c r="E33" s="54"/>
      <c r="F33" s="54"/>
      <c r="G33" s="54"/>
      <c r="H33" s="54"/>
    </row>
    <row r="34" spans="1:8" ht="12.75">
      <c r="A34" s="54"/>
      <c r="B34" s="54"/>
      <c r="C34" s="58" t="s">
        <v>72</v>
      </c>
      <c r="D34" s="58" t="s">
        <v>98</v>
      </c>
      <c r="E34" s="58"/>
      <c r="F34" s="66"/>
      <c r="G34" s="66"/>
      <c r="H34" s="54"/>
    </row>
    <row r="35" spans="1:8" ht="12.75">
      <c r="A35" s="54"/>
      <c r="B35" s="54"/>
      <c r="C35" s="59" t="s">
        <v>54</v>
      </c>
      <c r="D35" s="59" t="s">
        <v>54</v>
      </c>
      <c r="E35" s="59" t="s">
        <v>90</v>
      </c>
      <c r="F35" s="66"/>
      <c r="G35" s="66"/>
      <c r="H35" s="54"/>
    </row>
    <row r="36" spans="1:8" ht="12.75">
      <c r="A36" s="54"/>
      <c r="B36" s="67" t="s">
        <v>91</v>
      </c>
      <c r="C36" s="68">
        <f>G47</f>
        <v>0</v>
      </c>
      <c r="D36" s="72" t="s">
        <v>66</v>
      </c>
      <c r="E36" s="67"/>
      <c r="F36" s="69"/>
      <c r="G36" s="69"/>
      <c r="H36" s="54"/>
    </row>
    <row r="37" spans="1:8" ht="12.75">
      <c r="A37" s="54"/>
      <c r="B37" s="67" t="s">
        <v>92</v>
      </c>
      <c r="C37" s="68">
        <f>Elevage!M22</f>
        <v>0</v>
      </c>
      <c r="D37" s="72" t="s">
        <v>66</v>
      </c>
      <c r="E37" s="73" t="e">
        <f>C37/$C$36</f>
        <v>#DIV/0!</v>
      </c>
      <c r="F37" s="69"/>
      <c r="G37" s="69"/>
      <c r="H37" s="54"/>
    </row>
    <row r="38" spans="1:8" ht="12.75">
      <c r="A38" s="54"/>
      <c r="B38" s="67" t="s">
        <v>93</v>
      </c>
      <c r="C38" s="68">
        <f>G51</f>
        <v>0</v>
      </c>
      <c r="D38" s="72" t="s">
        <v>66</v>
      </c>
      <c r="E38" s="73" t="e">
        <f>C38/$C$36</f>
        <v>#DIV/0!</v>
      </c>
      <c r="F38" s="69"/>
      <c r="G38" s="69"/>
      <c r="H38" s="54"/>
    </row>
    <row r="39" spans="1:8" ht="12.75">
      <c r="A39" s="54"/>
      <c r="B39" s="67" t="s">
        <v>96</v>
      </c>
      <c r="C39" s="68">
        <f>C36-C37-C38</f>
        <v>0</v>
      </c>
      <c r="D39" s="140">
        <f>(30.97376*2+15.9994*5)/(30.97376*2)*C39</f>
        <v>0</v>
      </c>
      <c r="E39" s="73" t="e">
        <f>C39/$C$36</f>
        <v>#DIV/0!</v>
      </c>
      <c r="F39" s="64"/>
      <c r="G39" s="64"/>
      <c r="H39" s="54"/>
    </row>
    <row r="40" spans="1:8" ht="12.75">
      <c r="A40" s="54"/>
      <c r="B40" s="54"/>
      <c r="C40" s="54"/>
      <c r="D40" s="54"/>
      <c r="E40" s="54"/>
      <c r="F40" s="71"/>
      <c r="G40" s="71"/>
      <c r="H40" s="54"/>
    </row>
    <row r="41" spans="1:8" ht="12.75">
      <c r="A41" s="54"/>
      <c r="B41" s="54"/>
      <c r="C41" s="54"/>
      <c r="D41" s="54"/>
      <c r="E41" s="54"/>
      <c r="F41" s="54"/>
      <c r="G41" s="54"/>
      <c r="H41" s="54"/>
    </row>
    <row r="42" spans="1:8" ht="12.75">
      <c r="A42" s="54"/>
      <c r="B42" s="55" t="s">
        <v>99</v>
      </c>
      <c r="C42" s="54"/>
      <c r="D42" s="54"/>
      <c r="E42" s="54"/>
      <c r="F42" s="54"/>
      <c r="G42" s="54"/>
      <c r="H42" s="54"/>
    </row>
    <row r="43" spans="1:8" ht="12.75">
      <c r="A43" s="54"/>
      <c r="B43" s="16"/>
      <c r="C43" s="56" t="s">
        <v>28</v>
      </c>
      <c r="D43" s="56" t="s">
        <v>29</v>
      </c>
      <c r="E43" s="56" t="s">
        <v>100</v>
      </c>
      <c r="F43" s="56" t="s">
        <v>101</v>
      </c>
      <c r="G43" s="74" t="s">
        <v>102</v>
      </c>
      <c r="H43" s="75"/>
    </row>
    <row r="44" spans="1:8" ht="12.75">
      <c r="A44" s="54"/>
      <c r="B44" s="49" t="s">
        <v>103</v>
      </c>
      <c r="C44" s="76"/>
      <c r="D44" s="76"/>
      <c r="E44" s="76"/>
      <c r="F44" s="76"/>
      <c r="G44" s="77"/>
      <c r="H44" s="31"/>
    </row>
    <row r="45" spans="1:8" ht="12.75">
      <c r="A45" s="54"/>
      <c r="B45" s="76" t="s">
        <v>104</v>
      </c>
      <c r="C45" s="48">
        <f>Stock_Début!D11</f>
        <v>0</v>
      </c>
      <c r="D45" s="48">
        <f>Stock_Fin!D11</f>
        <v>0</v>
      </c>
      <c r="E45" s="48">
        <f>Achats_Aliments!D11</f>
        <v>0</v>
      </c>
      <c r="F45" s="6" t="s">
        <v>66</v>
      </c>
      <c r="G45" s="78">
        <f>E45+C45-D45</f>
        <v>0</v>
      </c>
      <c r="H45" s="31"/>
    </row>
    <row r="46" spans="1:8" ht="12.75">
      <c r="A46" s="54"/>
      <c r="B46" s="76" t="s">
        <v>105</v>
      </c>
      <c r="C46" s="48">
        <f>Stock_Début!G11</f>
        <v>0</v>
      </c>
      <c r="D46" s="48">
        <f>Stock_Fin!G11</f>
        <v>0</v>
      </c>
      <c r="E46" s="48">
        <f>Achats_Aliments!G11</f>
        <v>0</v>
      </c>
      <c r="F46" s="6" t="s">
        <v>66</v>
      </c>
      <c r="G46" s="78">
        <f>E46+C46-D46</f>
        <v>0</v>
      </c>
      <c r="H46" s="31" t="s">
        <v>106</v>
      </c>
    </row>
    <row r="47" spans="1:8" ht="12.75">
      <c r="A47" s="54"/>
      <c r="B47" s="79" t="s">
        <v>107</v>
      </c>
      <c r="C47" s="80">
        <f>Stock_Début!H11</f>
        <v>0</v>
      </c>
      <c r="D47" s="80">
        <f>Stock_Fin!H11</f>
        <v>0</v>
      </c>
      <c r="E47" s="80">
        <f>Achats_Aliments!H11</f>
        <v>0</v>
      </c>
      <c r="F47" s="7" t="s">
        <v>66</v>
      </c>
      <c r="G47" s="81">
        <f>E47+C47-D47</f>
        <v>0</v>
      </c>
      <c r="H47" s="16" t="s">
        <v>108</v>
      </c>
    </row>
    <row r="48" spans="1:8" ht="12.75">
      <c r="A48" s="54"/>
      <c r="B48" s="49" t="s">
        <v>109</v>
      </c>
      <c r="C48" s="76"/>
      <c r="D48" s="76"/>
      <c r="E48" s="76"/>
      <c r="F48" s="76"/>
      <c r="G48" s="77"/>
      <c r="H48" s="31"/>
    </row>
    <row r="49" spans="1:8" ht="12.75">
      <c r="A49" s="54"/>
      <c r="B49" s="76" t="s">
        <v>104</v>
      </c>
      <c r="C49" s="48">
        <f>Elevage!S22</f>
        <v>0</v>
      </c>
      <c r="D49" s="48">
        <f>Elevage!T22</f>
        <v>0</v>
      </c>
      <c r="E49" s="82">
        <f>Elevage!M32</f>
        <v>0</v>
      </c>
      <c r="F49" s="48">
        <f>Elevage!J32</f>
        <v>0</v>
      </c>
      <c r="G49" s="78">
        <f>-C49+D49+F49-E49</f>
        <v>0</v>
      </c>
      <c r="H49" s="31"/>
    </row>
    <row r="50" spans="1:8" ht="12.75">
      <c r="A50" s="54"/>
      <c r="B50" s="76" t="s">
        <v>105</v>
      </c>
      <c r="C50" s="48">
        <f>Elevage!O22</f>
        <v>0</v>
      </c>
      <c r="D50" s="48">
        <f>Elevage!P22</f>
        <v>0</v>
      </c>
      <c r="E50" s="82">
        <f>Elevage!N32</f>
        <v>0</v>
      </c>
      <c r="F50" s="48">
        <f>Elevage!K32</f>
        <v>0</v>
      </c>
      <c r="G50" s="78">
        <f>-C50+D50+F50-E50</f>
        <v>0</v>
      </c>
      <c r="H50" s="31" t="s">
        <v>110</v>
      </c>
    </row>
    <row r="51" spans="1:8" ht="12.75">
      <c r="A51" s="54"/>
      <c r="B51" s="79" t="s">
        <v>107</v>
      </c>
      <c r="C51" s="80">
        <f>Elevage!Q22</f>
        <v>0</v>
      </c>
      <c r="D51" s="80">
        <f>Elevage!R22</f>
        <v>0</v>
      </c>
      <c r="E51" s="83">
        <f>Elevage!O32</f>
        <v>0</v>
      </c>
      <c r="F51" s="80">
        <f>Elevage!L32</f>
        <v>0</v>
      </c>
      <c r="G51" s="81">
        <f>-C51+D51+F51-E51</f>
        <v>0</v>
      </c>
      <c r="H51" s="16" t="s">
        <v>111</v>
      </c>
    </row>
    <row r="52" spans="1:8" ht="12.75">
      <c r="A52" s="54"/>
      <c r="B52" s="54"/>
      <c r="C52" s="54"/>
      <c r="D52" s="54"/>
      <c r="E52" s="64"/>
      <c r="F52" s="54"/>
      <c r="G52" s="54"/>
      <c r="H52" s="54"/>
    </row>
  </sheetData>
  <sheetProtection password="D347" sheet="1" objects="1" scenarios="1"/>
  <mergeCells count="4">
    <mergeCell ref="E15:G15"/>
    <mergeCell ref="E20:G20"/>
    <mergeCell ref="E21:G21"/>
    <mergeCell ref="E22:G22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phosphore&amp;C&amp;"Arial,Gras"&amp;14Bilan&amp;RCorpen modifié
pour le Québec
</oddHeader>
    <oddFooter>&amp;R&amp;F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L50"/>
  <sheetViews>
    <sheetView showGridLines="0" showRowColHeaders="0" showZeros="0" showOutlineSymbols="0" zoomScale="80" zoomScaleNormal="80" workbookViewId="0" topLeftCell="A1">
      <selection activeCell="C25" sqref="C25"/>
    </sheetView>
  </sheetViews>
  <sheetFormatPr defaultColWidth="11.421875" defaultRowHeight="12.75"/>
  <cols>
    <col min="1" max="1" width="6.7109375" style="0" customWidth="1"/>
    <col min="2" max="2" width="23.28125" style="0" customWidth="1"/>
    <col min="3" max="3" width="12.57421875" style="0" customWidth="1"/>
    <col min="4" max="5" width="10.7109375" style="0" customWidth="1"/>
    <col min="6" max="6" width="9.00390625" style="0" customWidth="1"/>
    <col min="7" max="7" width="9.421875" style="0" customWidth="1"/>
    <col min="8" max="9" width="9.00390625" style="0" customWidth="1"/>
  </cols>
  <sheetData>
    <row r="1" spans="2:8" ht="12.75">
      <c r="B1" s="54"/>
      <c r="C1" s="54"/>
      <c r="D1" s="54"/>
      <c r="E1" s="54"/>
      <c r="F1" s="54"/>
      <c r="G1" s="54"/>
      <c r="H1" s="54"/>
    </row>
    <row r="2" spans="2:7" ht="12.75">
      <c r="B2" s="51" t="s">
        <v>15</v>
      </c>
      <c r="C2" s="135">
        <f>IF(Elevage!C2&lt;&gt;0,Elevage!C2,"")</f>
      </c>
      <c r="D2" s="10"/>
      <c r="E2" s="10"/>
      <c r="F2" s="10"/>
      <c r="G2" s="11"/>
    </row>
    <row r="3" spans="2:7" ht="12.75">
      <c r="B3" s="52" t="s">
        <v>16</v>
      </c>
      <c r="C3" s="8">
        <f>IF(Elevage!D3&lt;&gt;0,Elevage!D3,"")</f>
      </c>
      <c r="D3" s="12"/>
      <c r="E3" s="12"/>
      <c r="F3" s="12"/>
      <c r="G3" s="13"/>
    </row>
    <row r="4" spans="2:7" ht="12.75">
      <c r="B4" s="52"/>
      <c r="C4" s="8">
        <f>IF(Elevage!C4&lt;&gt;0,Elevage!C4,"")</f>
      </c>
      <c r="D4" s="12"/>
      <c r="E4" s="12"/>
      <c r="F4" s="12"/>
      <c r="G4" s="13"/>
    </row>
    <row r="5" spans="2:7" ht="12.75">
      <c r="B5" s="53"/>
      <c r="C5" s="136">
        <f>IF(Elevage!C5&lt;&gt;0,Elevage!C5,"")</f>
      </c>
      <c r="D5" s="14"/>
      <c r="E5" s="14"/>
      <c r="F5" s="14"/>
      <c r="G5" s="15"/>
    </row>
    <row r="6" spans="2:8" ht="12.75">
      <c r="B6" s="54"/>
      <c r="C6" s="54"/>
      <c r="D6" s="54"/>
      <c r="E6" s="54"/>
      <c r="F6" s="54"/>
      <c r="G6" s="54"/>
      <c r="H6" s="54"/>
    </row>
    <row r="8" spans="2:5" ht="12.75">
      <c r="B8" s="120" t="s">
        <v>112</v>
      </c>
      <c r="C8" s="122" t="s">
        <v>113</v>
      </c>
      <c r="D8" s="122" t="s">
        <v>114</v>
      </c>
      <c r="E8" s="360" t="s">
        <v>98</v>
      </c>
    </row>
    <row r="9" spans="2:5" ht="12.75">
      <c r="B9" s="114" t="s">
        <v>115</v>
      </c>
      <c r="C9" s="350">
        <f>Bilan!C26</f>
        <v>0</v>
      </c>
      <c r="D9" s="351">
        <f>Bilan!C36</f>
        <v>0</v>
      </c>
      <c r="E9" s="359"/>
    </row>
    <row r="10" spans="2:5" ht="12.75">
      <c r="B10" s="77" t="s">
        <v>116</v>
      </c>
      <c r="C10" s="6">
        <f>Bilan!C27+Bilan!C28</f>
        <v>0</v>
      </c>
      <c r="D10" s="352">
        <f>Bilan!C37+Bilan!C38</f>
        <v>0</v>
      </c>
      <c r="E10" s="359"/>
    </row>
    <row r="11" spans="2:5" ht="12.75">
      <c r="B11" s="77" t="s">
        <v>117</v>
      </c>
      <c r="C11" s="6">
        <f>Bilan!C30</f>
        <v>0</v>
      </c>
      <c r="D11" s="352"/>
      <c r="E11" s="359"/>
    </row>
    <row r="12" spans="2:5" ht="12.75">
      <c r="B12" s="115" t="s">
        <v>118</v>
      </c>
      <c r="C12" s="7">
        <f>Bilan!C31</f>
        <v>0</v>
      </c>
      <c r="D12" s="353">
        <f>Bilan!C39</f>
        <v>0</v>
      </c>
      <c r="E12" s="188">
        <f>Bilan!D39</f>
        <v>0</v>
      </c>
    </row>
    <row r="13" spans="2:4" ht="13.5" customHeight="1">
      <c r="B13" s="54"/>
      <c r="C13" s="116"/>
      <c r="D13" s="54"/>
    </row>
    <row r="14" spans="2:12" ht="13.5" customHeight="1">
      <c r="B14" s="184" t="s">
        <v>280</v>
      </c>
      <c r="C14" s="426" t="s">
        <v>281</v>
      </c>
      <c r="D14" s="410"/>
      <c r="E14" s="411"/>
      <c r="F14" s="421" t="s">
        <v>281</v>
      </c>
      <c r="G14" s="422"/>
      <c r="H14" s="224"/>
      <c r="I14" s="224"/>
      <c r="J14" s="224"/>
      <c r="K14" s="224"/>
      <c r="L14" s="224"/>
    </row>
    <row r="15" spans="2:12" ht="13.5" customHeight="1">
      <c r="B15" s="354"/>
      <c r="C15" s="421" t="s">
        <v>279</v>
      </c>
      <c r="D15" s="414"/>
      <c r="E15" s="364" t="s">
        <v>50</v>
      </c>
      <c r="F15" s="423" t="s">
        <v>282</v>
      </c>
      <c r="G15" s="424"/>
      <c r="H15" s="224"/>
      <c r="I15" s="224"/>
      <c r="J15" s="224"/>
      <c r="K15" s="224"/>
      <c r="L15" s="224"/>
    </row>
    <row r="16" spans="2:12" ht="13.5" customHeight="1">
      <c r="B16" s="357"/>
      <c r="C16" s="357"/>
      <c r="D16" s="361"/>
      <c r="E16" s="358" t="s">
        <v>54</v>
      </c>
      <c r="F16" s="418" t="s">
        <v>54</v>
      </c>
      <c r="G16" s="425"/>
      <c r="H16" s="224"/>
      <c r="I16" s="224"/>
      <c r="J16" s="224"/>
      <c r="K16" s="224"/>
      <c r="L16" s="224"/>
    </row>
    <row r="17" spans="2:12" ht="13.5" customHeight="1">
      <c r="B17" s="183" t="s">
        <v>287</v>
      </c>
      <c r="C17" s="165" t="s">
        <v>74</v>
      </c>
      <c r="D17" s="362">
        <f>Elevage!E46</f>
      </c>
      <c r="E17" s="355">
        <f>Elevage!J46</f>
        <v>0</v>
      </c>
      <c r="F17" s="427">
        <f>Elevage!$J53</f>
      </c>
      <c r="G17" s="424"/>
      <c r="H17" s="224"/>
      <c r="I17" s="224"/>
      <c r="J17" s="224"/>
      <c r="K17" s="224"/>
      <c r="L17" s="224"/>
    </row>
    <row r="18" spans="2:12" ht="13.5" customHeight="1">
      <c r="B18" s="183" t="s">
        <v>113</v>
      </c>
      <c r="C18" s="165" t="s">
        <v>161</v>
      </c>
      <c r="D18" s="362">
        <f>Elevage!F46</f>
      </c>
      <c r="E18" s="355">
        <f>Elevage!K46</f>
        <v>0</v>
      </c>
      <c r="F18" s="427">
        <f>Elevage!$K53</f>
      </c>
      <c r="G18" s="424"/>
      <c r="H18" s="224"/>
      <c r="I18" s="224"/>
      <c r="J18" s="224"/>
      <c r="K18" s="224"/>
      <c r="L18" s="224"/>
    </row>
    <row r="19" spans="2:12" ht="13.5" customHeight="1">
      <c r="B19" s="183" t="s">
        <v>277</v>
      </c>
      <c r="C19" s="165" t="s">
        <v>161</v>
      </c>
      <c r="D19" s="362">
        <f>Elevage!G46</f>
      </c>
      <c r="E19" s="355">
        <f>Elevage!L46</f>
        <v>0</v>
      </c>
      <c r="F19" s="427">
        <f>Elevage!$L53</f>
      </c>
      <c r="G19" s="424"/>
      <c r="H19" s="224"/>
      <c r="I19" s="224"/>
      <c r="J19" s="224"/>
      <c r="K19" s="224"/>
      <c r="L19" s="224"/>
    </row>
    <row r="20" spans="2:8" ht="13.5" customHeight="1">
      <c r="B20" s="169" t="s">
        <v>283</v>
      </c>
      <c r="C20" s="167" t="s">
        <v>161</v>
      </c>
      <c r="D20" s="363">
        <f>Elevage!H46</f>
      </c>
      <c r="E20" s="356">
        <f>Elevage!M46</f>
        <v>0</v>
      </c>
      <c r="F20" s="428">
        <f>Elevage!$M53</f>
      </c>
      <c r="G20" s="425"/>
      <c r="H20" s="348"/>
    </row>
    <row r="21" spans="2:8" ht="13.5" customHeight="1">
      <c r="B21" s="224"/>
      <c r="C21" s="224"/>
      <c r="D21" s="224"/>
      <c r="E21" s="224"/>
      <c r="F21" s="224"/>
      <c r="G21" s="224"/>
      <c r="H21" s="349"/>
    </row>
    <row r="22" spans="2:6" ht="13.5" customHeight="1">
      <c r="B22" s="121"/>
      <c r="C22" s="123"/>
      <c r="D22" s="124"/>
      <c r="E22" s="125" t="s">
        <v>119</v>
      </c>
      <c r="F22" s="126"/>
    </row>
    <row r="23" spans="2:6" ht="12.75">
      <c r="B23" s="120" t="s">
        <v>120</v>
      </c>
      <c r="C23" s="127" t="s">
        <v>121</v>
      </c>
      <c r="D23" s="127" t="s">
        <v>102</v>
      </c>
      <c r="E23" s="127" t="s">
        <v>312</v>
      </c>
      <c r="F23" s="127" t="s">
        <v>146</v>
      </c>
    </row>
    <row r="24" spans="2:6" ht="12.75">
      <c r="B24" s="114" t="s">
        <v>122</v>
      </c>
      <c r="C24" s="117">
        <f>(+Elevage!C18+Elevage!D18+Elevage!C19+Elevage!D19)/2</f>
        <v>0</v>
      </c>
      <c r="D24" s="117"/>
      <c r="E24" s="118">
        <f>+C24*14.7</f>
        <v>0</v>
      </c>
      <c r="F24" s="118">
        <f>+C24*14.7</f>
        <v>0</v>
      </c>
    </row>
    <row r="25" spans="2:6" ht="12.75">
      <c r="B25" s="77" t="s">
        <v>123</v>
      </c>
      <c r="C25" s="48">
        <f>IF(C24&gt;0,Elevage!C28+Elevage!C29+Elevage!C27+Elevage!E28+Elevage!E29-Elevage!C36-Elevage!C35+((Elevage!T20-Elevage!S20)/Elevage!S27)+((Elevage!T21-Elevage!S21)/Elevage!S29),IF(Elevage!C35&gt;0,(Elevage!C27+Elevage!C29+Elevage!E29+Elevage!C28+Elevage!E28+Elevage!U29+((Elevage!T20-Elevage!S20)/Elevage!S27)),0))</f>
        <v>0</v>
      </c>
      <c r="D25" s="48"/>
      <c r="E25" s="118">
        <f>C25*0.232</f>
        <v>0</v>
      </c>
      <c r="F25" s="118">
        <f>C25*0.232</f>
        <v>0</v>
      </c>
    </row>
    <row r="26" spans="2:6" ht="12.75">
      <c r="B26" s="77" t="s">
        <v>124</v>
      </c>
      <c r="C26" s="48">
        <f>+Elevage!C29+Elevage!C28+((Elevage!T21-Elevage!S21)/Elevage!S29)</f>
        <v>0</v>
      </c>
      <c r="D26" s="69"/>
      <c r="E26" s="118">
        <f>Elevage!$C28*3.87+Elevage!$C29*2.24</f>
        <v>0</v>
      </c>
      <c r="F26" s="118">
        <f>Elevage!$C28*2.93+Elevage!$C29*2.14</f>
        <v>0</v>
      </c>
    </row>
    <row r="27" spans="2:6" ht="12.75">
      <c r="B27" s="77"/>
      <c r="C27" s="76"/>
      <c r="D27" s="48">
        <f>+C12</f>
        <v>0</v>
      </c>
      <c r="E27" s="118">
        <f>SUM(E24:E26)</f>
        <v>0</v>
      </c>
      <c r="F27" s="118">
        <f>SUM(F24:F26)</f>
        <v>0</v>
      </c>
    </row>
    <row r="28" spans="2:6" ht="12.75">
      <c r="B28" s="115"/>
      <c r="C28" s="79"/>
      <c r="D28" s="119" t="e">
        <f>+D27/E27</f>
        <v>#DIV/0!</v>
      </c>
      <c r="E28" s="119">
        <v>1</v>
      </c>
      <c r="F28" s="119" t="e">
        <f>+F27/E27</f>
        <v>#DIV/0!</v>
      </c>
    </row>
    <row r="29" spans="2:6" ht="12.75">
      <c r="B29" s="114" t="s">
        <v>186</v>
      </c>
      <c r="C29" s="114"/>
      <c r="D29" s="155"/>
      <c r="E29" s="155"/>
      <c r="F29" s="154"/>
    </row>
    <row r="30" spans="2:6" ht="12.75">
      <c r="B30" s="115" t="s">
        <v>284</v>
      </c>
      <c r="C30" s="115"/>
      <c r="D30" s="242" t="e">
        <f>D27/Bilan!$G49*1000</f>
        <v>#DIV/0!</v>
      </c>
      <c r="E30" s="242" t="e">
        <f>E27/Bilan!$G49*1000</f>
        <v>#DIV/0!</v>
      </c>
      <c r="F30" s="242" t="e">
        <f>F27/Bilan!$G49*1000</f>
        <v>#DIV/0!</v>
      </c>
    </row>
    <row r="31" spans="2:6" ht="12.75">
      <c r="B31" s="54"/>
      <c r="C31" s="69"/>
      <c r="D31" s="54"/>
      <c r="E31" s="54"/>
      <c r="F31" s="54"/>
    </row>
    <row r="32" spans="2:6" ht="12.75">
      <c r="B32" s="121"/>
      <c r="C32" s="123"/>
      <c r="D32" s="124"/>
      <c r="E32" s="125" t="s">
        <v>119</v>
      </c>
      <c r="F32" s="126"/>
    </row>
    <row r="33" spans="2:11" ht="12.75">
      <c r="B33" s="120" t="s">
        <v>125</v>
      </c>
      <c r="C33" s="127" t="str">
        <f>+C23</f>
        <v>Effectifs</v>
      </c>
      <c r="D33" s="127" t="s">
        <v>102</v>
      </c>
      <c r="E33" s="127" t="s">
        <v>312</v>
      </c>
      <c r="F33" s="127" t="s">
        <v>146</v>
      </c>
      <c r="K33" s="263"/>
    </row>
    <row r="34" spans="2:6" ht="12.75">
      <c r="B34" s="114" t="str">
        <f>+B24</f>
        <v>Reproducteurs</v>
      </c>
      <c r="C34" s="117">
        <f>+C24</f>
        <v>0</v>
      </c>
      <c r="D34" s="117"/>
      <c r="E34" s="118">
        <f>+C24*14.7</f>
        <v>0</v>
      </c>
      <c r="F34" s="118">
        <f>+C24*10.3</f>
        <v>0</v>
      </c>
    </row>
    <row r="35" spans="2:11" ht="12.75">
      <c r="B35" s="77" t="str">
        <f>+B25</f>
        <v>Porcelets produits</v>
      </c>
      <c r="C35" s="48">
        <f>+C25</f>
        <v>0</v>
      </c>
      <c r="D35" s="48"/>
      <c r="E35" s="118">
        <f>C35*0.175</f>
        <v>0</v>
      </c>
      <c r="F35" s="118">
        <f>C35*0.132</f>
        <v>0</v>
      </c>
      <c r="K35" s="262"/>
    </row>
    <row r="36" spans="2:11" ht="12.75">
      <c r="B36" s="77" t="str">
        <f>+B26</f>
        <v>Porcs à l'engrais produits</v>
      </c>
      <c r="C36" s="48">
        <f>+C26</f>
        <v>0</v>
      </c>
      <c r="D36" s="69"/>
      <c r="E36" s="118">
        <f>Elevage!$C28*3.01+Elevage!$C29*1.31</f>
        <v>0</v>
      </c>
      <c r="F36" s="118">
        <f>Elevage!$C28*2.34+Elevage!$C29*0.88</f>
        <v>0</v>
      </c>
      <c r="K36" s="262"/>
    </row>
    <row r="37" spans="2:11" ht="12.75">
      <c r="B37" s="77"/>
      <c r="C37" s="76"/>
      <c r="D37" s="48">
        <f>Bilan!D39</f>
        <v>0</v>
      </c>
      <c r="E37" s="118">
        <f>SUM(E34:E36)</f>
        <v>0</v>
      </c>
      <c r="F37" s="118">
        <f>SUM(F34:F36)</f>
        <v>0</v>
      </c>
      <c r="K37" s="262"/>
    </row>
    <row r="38" spans="2:11" ht="12.75">
      <c r="B38" s="115"/>
      <c r="C38" s="79"/>
      <c r="D38" s="119" t="e">
        <f>+D37/E37</f>
        <v>#DIV/0!</v>
      </c>
      <c r="E38" s="119">
        <v>1</v>
      </c>
      <c r="F38" s="119" t="e">
        <f>+F37/E37</f>
        <v>#DIV/0!</v>
      </c>
      <c r="K38" s="262"/>
    </row>
    <row r="39" spans="2:6" ht="15.75">
      <c r="B39" s="114" t="s">
        <v>285</v>
      </c>
      <c r="C39" s="114"/>
      <c r="D39" s="155"/>
      <c r="E39" s="155"/>
      <c r="F39" s="154"/>
    </row>
    <row r="40" spans="2:6" ht="12.75">
      <c r="B40" s="115" t="s">
        <v>284</v>
      </c>
      <c r="C40" s="115"/>
      <c r="D40" s="242" t="e">
        <f>D37/Bilan!$G49*1000</f>
        <v>#DIV/0!</v>
      </c>
      <c r="E40" s="242" t="e">
        <f>E37/Bilan!$G49*1000</f>
        <v>#DIV/0!</v>
      </c>
      <c r="F40" s="242" t="e">
        <f>F37/Bilan!$G49*1000</f>
        <v>#DIV/0!</v>
      </c>
    </row>
    <row r="41" spans="2:11" ht="12.75">
      <c r="B41" s="399" t="s">
        <v>313</v>
      </c>
      <c r="K41" s="262"/>
    </row>
    <row r="42" ht="12.75">
      <c r="B42" s="398" t="s">
        <v>314</v>
      </c>
    </row>
    <row r="43" spans="7:11" ht="12.75">
      <c r="G43" s="207"/>
      <c r="K43" s="262"/>
    </row>
    <row r="44" spans="2:11" ht="12.75">
      <c r="B44" s="264" t="s">
        <v>175</v>
      </c>
      <c r="G44" s="207"/>
      <c r="K44" s="262"/>
    </row>
    <row r="45" spans="2:6" ht="12.75">
      <c r="B45" s="224"/>
      <c r="C45" s="224"/>
      <c r="D45" s="124"/>
      <c r="E45" s="125" t="s">
        <v>119</v>
      </c>
      <c r="F45" s="126"/>
    </row>
    <row r="46" spans="2:6" ht="12.75">
      <c r="B46" s="299" t="s">
        <v>20</v>
      </c>
      <c r="C46" s="225"/>
      <c r="D46" s="223" t="s">
        <v>102</v>
      </c>
      <c r="E46" s="122" t="str">
        <f>E33</f>
        <v>Standard</v>
      </c>
      <c r="F46" s="122" t="s">
        <v>146</v>
      </c>
    </row>
    <row r="47" spans="2:6" ht="12.75">
      <c r="B47" s="300"/>
      <c r="C47" s="301"/>
      <c r="D47" s="220" t="s">
        <v>176</v>
      </c>
      <c r="E47" s="221" t="s">
        <v>176</v>
      </c>
      <c r="F47" s="222" t="s">
        <v>176</v>
      </c>
    </row>
    <row r="48" spans="2:6" ht="12.75">
      <c r="B48" s="183">
        <v>2005</v>
      </c>
      <c r="C48" s="302"/>
      <c r="D48" s="303">
        <f>D37/Elevage!G70*0.5</f>
        <v>0</v>
      </c>
      <c r="E48" s="261">
        <f>E37/Elevage!G70*0.5</f>
        <v>0</v>
      </c>
      <c r="F48" s="304">
        <f>F37/Elevage!G70*0.5</f>
        <v>0</v>
      </c>
    </row>
    <row r="49" spans="2:6" ht="12.75">
      <c r="B49" s="305">
        <v>2008</v>
      </c>
      <c r="C49" s="302"/>
      <c r="D49" s="216">
        <f>D37/Elevage!G70*0.75</f>
        <v>0</v>
      </c>
      <c r="E49" s="218">
        <f>E37/Elevage!G70*0.75</f>
        <v>0</v>
      </c>
      <c r="F49" s="306">
        <f>F37/Elevage!G70*0.75</f>
        <v>0</v>
      </c>
    </row>
    <row r="50" spans="2:6" ht="12.75">
      <c r="B50" s="307">
        <v>2010</v>
      </c>
      <c r="C50" s="308"/>
      <c r="D50" s="217">
        <f>D37/Elevage!G70</f>
        <v>0</v>
      </c>
      <c r="E50" s="219">
        <f>E37/Elevage!G70</f>
        <v>0</v>
      </c>
      <c r="F50" s="309">
        <f>F37/Elevage!G70</f>
        <v>0</v>
      </c>
    </row>
  </sheetData>
  <sheetProtection password="D347" sheet="1" objects="1" scenarios="1"/>
  <mergeCells count="9">
    <mergeCell ref="F17:G17"/>
    <mergeCell ref="F18:G18"/>
    <mergeCell ref="F19:G19"/>
    <mergeCell ref="F20:G20"/>
    <mergeCell ref="F14:G14"/>
    <mergeCell ref="F15:G15"/>
    <mergeCell ref="F16:G16"/>
    <mergeCell ref="C15:D15"/>
    <mergeCell ref="C14:E14"/>
  </mergeCells>
  <printOptions/>
  <pageMargins left="0.3937007874015748" right="0.3937007874015748" top="1.1811023622047245" bottom="0.5905511811023623" header="0.5118110236220472" footer="0.5118110236220472"/>
  <pageSetup horizontalDpi="300" verticalDpi="300" orientation="portrait" r:id="rId1"/>
  <headerFooter alignWithMargins="0">
    <oddHeader>&amp;L&amp;"Arial,Gras"Estimation des rejets
d'azote et de phosphore&amp;C&amp;"Arial,Gras"&amp;14Résultats de la ferme
vs 
Standard et Potentiel&amp;RCorpen modifié 
pour le Québec</oddHeader>
    <oddFooter>&amp;R&amp;F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showGridLines="0" showRowColHeaders="0" workbookViewId="0" topLeftCell="A1">
      <selection activeCell="C61" sqref="C61"/>
    </sheetView>
  </sheetViews>
  <sheetFormatPr defaultColWidth="11.421875" defaultRowHeight="12.75"/>
  <sheetData/>
  <sheetProtection password="D347" sheet="1" objects="1" scenarios="1"/>
  <printOptions/>
  <pageMargins left="0.3937007874015748" right="0.3937007874015748" top="0.7874015748031497" bottom="0.3937007874015748" header="0.5118110236220472" footer="0.5118110236220472"/>
  <pageSetup horizontalDpi="300" verticalDpi="300" orientation="portrait" r:id="rId4"/>
  <drawing r:id="rId3"/>
  <legacyDrawing r:id="rId2"/>
  <oleObjects>
    <oleObject progId="Document" shapeId="74428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showOutlineSymbols="0" workbookViewId="0" topLeftCell="A1">
      <selection activeCell="L13" sqref="L13"/>
    </sheetView>
  </sheetViews>
  <sheetFormatPr defaultColWidth="11.421875" defaultRowHeight="12.75"/>
  <cols>
    <col min="1" max="1" width="21.421875" style="137" customWidth="1"/>
    <col min="2" max="2" width="8.8515625" style="137" customWidth="1"/>
    <col min="3" max="5" width="7.140625" style="137" customWidth="1"/>
    <col min="6" max="7" width="8.57421875" style="137" customWidth="1"/>
    <col min="8" max="8" width="7.57421875" style="137" customWidth="1"/>
    <col min="9" max="9" width="6.140625" style="137" customWidth="1"/>
    <col min="10" max="10" width="11.421875" style="137" customWidth="1"/>
    <col min="11" max="11" width="10.140625" style="137" customWidth="1"/>
    <col min="12" max="14" width="6.140625" style="137" customWidth="1"/>
    <col min="15" max="17" width="7.421875" style="137" customWidth="1"/>
    <col min="18" max="16384" width="11.57421875" style="13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7" ht="27" customHeight="1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 password="DC87" sheet="1" objects="1" scenarios="1"/>
  <printOptions/>
  <pageMargins left="0.61" right="0.1968503937007874" top="0.2362204724409449" bottom="0.4724409448818898" header="0.984251968503937" footer="0.5118110236220472"/>
  <pageSetup horizontalDpi="300" verticalDpi="300" orientation="portrait" r:id="rId5"/>
  <legacyDrawing r:id="rId4"/>
  <oleObjects>
    <oleObject progId="Document" shapeId="105057" r:id="rId1"/>
    <oleObject progId="Word.Document.8" shapeId="264611" r:id="rId2"/>
    <oleObject progId="Word.Document.8" shapeId="2409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Simplifié d'Elevage</dc:title>
  <dc:subject>Calcul des Rejets d'Azote et de Phosphore</dc:subject>
  <dc:creator>Jean-Yves DOURMAD</dc:creator>
  <cp:keywords/>
  <dc:description/>
  <cp:lastModifiedBy>Julie Lemieux</cp:lastModifiedBy>
  <cp:lastPrinted>2004-09-25T02:39:13Z</cp:lastPrinted>
  <dcterms:created xsi:type="dcterms:W3CDTF">1997-04-09T12:22:24Z</dcterms:created>
  <dcterms:modified xsi:type="dcterms:W3CDTF">2004-12-01T21:15:19Z</dcterms:modified>
  <cp:category/>
  <cp:version/>
  <cp:contentType/>
  <cp:contentStatus/>
</cp:coreProperties>
</file>